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54" windowWidth="17914" windowHeight="8361"/>
  </bookViews>
  <sheets>
    <sheet name="Sheet1" sheetId="1" r:id="rId1"/>
  </sheets>
  <definedNames>
    <definedName name="_xlnm.Print_Area" localSheetId="0">Sheet1!$A$1:$L$214</definedName>
    <definedName name="_xlnm.Print_Titles" localSheetId="0">Sheet1!$3:$4</definedName>
    <definedName name="t" localSheetId="0">Sheet1!$G$16:$K$16</definedName>
  </definedNames>
  <calcPr calcId="145621"/>
</workbook>
</file>

<file path=xl/calcChain.xml><?xml version="1.0" encoding="utf-8"?>
<calcChain xmlns="http://schemas.openxmlformats.org/spreadsheetml/2006/main">
  <c r="K201" i="1" l="1"/>
  <c r="K194" i="1"/>
  <c r="J194" i="1"/>
  <c r="I194" i="1"/>
  <c r="H194" i="1"/>
  <c r="G194" i="1"/>
  <c r="F194" i="1"/>
  <c r="F192" i="1"/>
  <c r="F193" i="1" s="1"/>
  <c r="F195" i="1" s="1"/>
  <c r="F190" i="1"/>
  <c r="F189" i="1"/>
  <c r="F191" i="1" s="1"/>
  <c r="G186" i="1"/>
  <c r="F186" i="1"/>
  <c r="J185" i="1"/>
  <c r="I185" i="1"/>
  <c r="H185" i="1"/>
  <c r="H39" i="1" s="1"/>
  <c r="G185" i="1"/>
  <c r="K181" i="1"/>
  <c r="J181" i="1"/>
  <c r="J81" i="1" s="1"/>
  <c r="H180" i="1"/>
  <c r="H183" i="1" s="1"/>
  <c r="G180" i="1"/>
  <c r="G183" i="1" s="1"/>
  <c r="G190" i="1" s="1"/>
  <c r="J176" i="1"/>
  <c r="K173" i="1"/>
  <c r="J173" i="1"/>
  <c r="I173" i="1"/>
  <c r="I201" i="1" s="1"/>
  <c r="H173" i="1"/>
  <c r="H201" i="1" s="1"/>
  <c r="G173" i="1"/>
  <c r="G201" i="1" s="1"/>
  <c r="K171" i="1"/>
  <c r="J171" i="1"/>
  <c r="I176" i="1" s="1"/>
  <c r="I41" i="1" s="1"/>
  <c r="I171" i="1"/>
  <c r="H171" i="1"/>
  <c r="G171" i="1"/>
  <c r="K170" i="1"/>
  <c r="J170" i="1"/>
  <c r="I170" i="1"/>
  <c r="H170" i="1"/>
  <c r="G170" i="1"/>
  <c r="G169" i="1"/>
  <c r="G172" i="1" s="1"/>
  <c r="H166" i="1"/>
  <c r="G166" i="1"/>
  <c r="I163" i="1"/>
  <c r="I166" i="1" s="1"/>
  <c r="J163" i="1" s="1"/>
  <c r="J166" i="1" s="1"/>
  <c r="K163" i="1" s="1"/>
  <c r="K166" i="1" s="1"/>
  <c r="H163" i="1"/>
  <c r="G163" i="1"/>
  <c r="G157" i="1"/>
  <c r="G160" i="1" s="1"/>
  <c r="H157" i="1" s="1"/>
  <c r="H160" i="1" s="1"/>
  <c r="I157" i="1" s="1"/>
  <c r="I160" i="1" s="1"/>
  <c r="J157" i="1" s="1"/>
  <c r="J160" i="1" s="1"/>
  <c r="K157" i="1" s="1"/>
  <c r="K160" i="1" s="1"/>
  <c r="K141" i="1"/>
  <c r="K130" i="1"/>
  <c r="J130" i="1"/>
  <c r="I130" i="1"/>
  <c r="H130" i="1"/>
  <c r="G130" i="1"/>
  <c r="G129" i="1"/>
  <c r="I128" i="1"/>
  <c r="H128" i="1"/>
  <c r="G128" i="1"/>
  <c r="J127" i="1"/>
  <c r="J123" i="1"/>
  <c r="I123" i="1"/>
  <c r="H123" i="1"/>
  <c r="G123" i="1"/>
  <c r="J122" i="1"/>
  <c r="H122" i="1"/>
  <c r="J121" i="1"/>
  <c r="H121" i="1"/>
  <c r="J118" i="1"/>
  <c r="I118" i="1"/>
  <c r="H118" i="1"/>
  <c r="G118" i="1"/>
  <c r="J117" i="1"/>
  <c r="J105" i="1"/>
  <c r="I105" i="1"/>
  <c r="H105" i="1"/>
  <c r="H85" i="1"/>
  <c r="H97" i="1" s="1"/>
  <c r="K84" i="1"/>
  <c r="J84" i="1"/>
  <c r="I84" i="1"/>
  <c r="I85" i="1" s="1"/>
  <c r="I97" i="1" s="1"/>
  <c r="H84" i="1"/>
  <c r="G84" i="1"/>
  <c r="K83" i="1"/>
  <c r="J83" i="1"/>
  <c r="I83" i="1"/>
  <c r="H83" i="1"/>
  <c r="G83" i="1"/>
  <c r="K82" i="1"/>
  <c r="J82" i="1"/>
  <c r="I82" i="1"/>
  <c r="H82" i="1"/>
  <c r="G82" i="1"/>
  <c r="K81" i="1"/>
  <c r="K85" i="1" s="1"/>
  <c r="K97" i="1" s="1"/>
  <c r="I81" i="1"/>
  <c r="H81" i="1"/>
  <c r="G81" i="1"/>
  <c r="G85" i="1" s="1"/>
  <c r="G97" i="1" s="1"/>
  <c r="K76" i="1"/>
  <c r="J76" i="1"/>
  <c r="I76" i="1"/>
  <c r="H76" i="1"/>
  <c r="H63" i="1" s="1"/>
  <c r="G76" i="1"/>
  <c r="H71" i="1"/>
  <c r="K67" i="1"/>
  <c r="I67" i="1"/>
  <c r="H67" i="1"/>
  <c r="G67" i="1"/>
  <c r="J63" i="1"/>
  <c r="J150" i="1" s="1"/>
  <c r="I63" i="1"/>
  <c r="F52" i="1"/>
  <c r="F132" i="1" s="1"/>
  <c r="H42" i="1"/>
  <c r="G42" i="1"/>
  <c r="F42" i="1"/>
  <c r="K41" i="1"/>
  <c r="J41" i="1"/>
  <c r="H41" i="1"/>
  <c r="G41" i="1"/>
  <c r="F41" i="1"/>
  <c r="F45" i="1" s="1"/>
  <c r="G40" i="1"/>
  <c r="G114" i="1" s="1"/>
  <c r="F40" i="1"/>
  <c r="F114" i="1" s="1"/>
  <c r="K39" i="1"/>
  <c r="J39" i="1"/>
  <c r="I39" i="1"/>
  <c r="G39" i="1"/>
  <c r="F39" i="1"/>
  <c r="K38" i="1"/>
  <c r="J38" i="1"/>
  <c r="I38" i="1"/>
  <c r="H38" i="1"/>
  <c r="G38" i="1"/>
  <c r="K32" i="1"/>
  <c r="K31" i="1"/>
  <c r="J31" i="1"/>
  <c r="K30" i="1"/>
  <c r="J30" i="1"/>
  <c r="J29" i="1"/>
  <c r="I29" i="1"/>
  <c r="I125" i="1" s="1"/>
  <c r="H29" i="1"/>
  <c r="G29" i="1"/>
  <c r="K28" i="1"/>
  <c r="J28" i="1"/>
  <c r="I28" i="1"/>
  <c r="I110" i="1" s="1"/>
  <c r="H28" i="1"/>
  <c r="G28" i="1"/>
  <c r="G33" i="1" s="1"/>
  <c r="F28" i="1"/>
  <c r="G65" i="1" s="1"/>
  <c r="K25" i="1"/>
  <c r="K16" i="1"/>
  <c r="J16" i="1"/>
  <c r="I139" i="1" s="1"/>
  <c r="I16" i="1"/>
  <c r="H139" i="1" s="1"/>
  <c r="H16" i="1"/>
  <c r="G139" i="1" s="1"/>
  <c r="G16" i="1"/>
  <c r="G71" i="1" s="1"/>
  <c r="K11" i="1"/>
  <c r="J11" i="1"/>
  <c r="K10" i="1"/>
  <c r="K122" i="1" s="1"/>
  <c r="J10" i="1"/>
  <c r="I10" i="1"/>
  <c r="I122" i="1" s="1"/>
  <c r="G10" i="1"/>
  <c r="G122" i="1" s="1"/>
  <c r="K9" i="1"/>
  <c r="K121" i="1" s="1"/>
  <c r="J9" i="1"/>
  <c r="I9" i="1"/>
  <c r="I121" i="1" s="1"/>
  <c r="G9" i="1"/>
  <c r="G121" i="1" s="1"/>
  <c r="K8" i="1"/>
  <c r="J8" i="1"/>
  <c r="I8" i="1"/>
  <c r="H8" i="1"/>
  <c r="H119" i="1" s="1"/>
  <c r="G8" i="1"/>
  <c r="G119" i="1" s="1"/>
  <c r="K6" i="1"/>
  <c r="G124" i="1" l="1"/>
  <c r="G34" i="1"/>
  <c r="K213" i="1"/>
  <c r="H190" i="1"/>
  <c r="H186" i="1"/>
  <c r="H40" i="1" s="1"/>
  <c r="I180" i="1"/>
  <c r="I183" i="1" s="1"/>
  <c r="K106" i="1"/>
  <c r="G213" i="1"/>
  <c r="J85" i="1"/>
  <c r="J97" i="1" s="1"/>
  <c r="I120" i="1"/>
  <c r="I119" i="1"/>
  <c r="J125" i="1"/>
  <c r="J128" i="1"/>
  <c r="J67" i="1"/>
  <c r="G131" i="1"/>
  <c r="K63" i="1"/>
  <c r="K150" i="1" s="1"/>
  <c r="F100" i="1"/>
  <c r="G99" i="1" s="1"/>
  <c r="F112" i="1"/>
  <c r="K117" i="1"/>
  <c r="G192" i="1"/>
  <c r="F197" i="1"/>
  <c r="K128" i="1"/>
  <c r="K123" i="1"/>
  <c r="K105" i="1"/>
  <c r="K118" i="1"/>
  <c r="K129" i="1"/>
  <c r="K125" i="1"/>
  <c r="J120" i="1"/>
  <c r="J119" i="1"/>
  <c r="I11" i="1"/>
  <c r="G141" i="1"/>
  <c r="H110" i="1"/>
  <c r="H111" i="1"/>
  <c r="H129" i="1"/>
  <c r="G127" i="1"/>
  <c r="G66" i="1"/>
  <c r="K29" i="1"/>
  <c r="H33" i="1"/>
  <c r="H192" i="1"/>
  <c r="H100" i="1"/>
  <c r="F113" i="1"/>
  <c r="F131" i="1"/>
  <c r="H66" i="1"/>
  <c r="I71" i="1"/>
  <c r="G100" i="1"/>
  <c r="G120" i="1"/>
  <c r="G125" i="1"/>
  <c r="H131" i="1"/>
  <c r="F139" i="1"/>
  <c r="G197" i="1"/>
  <c r="G11" i="1"/>
  <c r="I140" i="1"/>
  <c r="I141" i="1"/>
  <c r="F111" i="1"/>
  <c r="F110" i="1"/>
  <c r="J129" i="1"/>
  <c r="J111" i="1"/>
  <c r="F33" i="1"/>
  <c r="F34" i="1" s="1"/>
  <c r="F47" i="1" s="1"/>
  <c r="F56" i="1" s="1"/>
  <c r="K62" i="1"/>
  <c r="J65" i="1"/>
  <c r="J66" i="1"/>
  <c r="G189" i="1"/>
  <c r="G191" i="1" s="1"/>
  <c r="H169" i="1"/>
  <c r="H172" i="1" s="1"/>
  <c r="H11" i="1"/>
  <c r="J139" i="1"/>
  <c r="K71" i="1"/>
  <c r="G110" i="1"/>
  <c r="G111" i="1"/>
  <c r="H65" i="1"/>
  <c r="K110" i="1"/>
  <c r="K192" i="1"/>
  <c r="G63" i="1"/>
  <c r="K65" i="1"/>
  <c r="H213" i="1"/>
  <c r="K119" i="1"/>
  <c r="K120" i="1"/>
  <c r="J106" i="1"/>
  <c r="J62" i="1"/>
  <c r="H141" i="1"/>
  <c r="H140" i="1"/>
  <c r="I129" i="1"/>
  <c r="I111" i="1"/>
  <c r="I33" i="1"/>
  <c r="H127" i="1"/>
  <c r="H125" i="1"/>
  <c r="J33" i="1"/>
  <c r="I192" i="1"/>
  <c r="I65" i="1"/>
  <c r="I66" i="1"/>
  <c r="J71" i="1"/>
  <c r="J213" i="1"/>
  <c r="J110" i="1"/>
  <c r="H120" i="1"/>
  <c r="I127" i="1"/>
  <c r="G140" i="1"/>
  <c r="I213" i="1"/>
  <c r="J192" i="1"/>
  <c r="J201" i="1"/>
  <c r="I99" i="1" l="1"/>
  <c r="G198" i="1"/>
  <c r="G202" i="1" s="1"/>
  <c r="I190" i="1"/>
  <c r="I197" i="1" s="1"/>
  <c r="I186" i="1"/>
  <c r="I40" i="1" s="1"/>
  <c r="J180" i="1"/>
  <c r="J183" i="1" s="1"/>
  <c r="J124" i="1"/>
  <c r="J34" i="1"/>
  <c r="K140" i="1"/>
  <c r="J140" i="1"/>
  <c r="J141" i="1"/>
  <c r="I169" i="1"/>
  <c r="I172" i="1" s="1"/>
  <c r="H189" i="1"/>
  <c r="H191" i="1" s="1"/>
  <c r="H193" i="1"/>
  <c r="H195" i="1" s="1"/>
  <c r="K127" i="1"/>
  <c r="K111" i="1"/>
  <c r="K33" i="1"/>
  <c r="G193" i="1"/>
  <c r="G195" i="1" s="1"/>
  <c r="K66" i="1"/>
  <c r="K68" i="1" s="1"/>
  <c r="H114" i="1"/>
  <c r="H124" i="1"/>
  <c r="H34" i="1"/>
  <c r="I124" i="1"/>
  <c r="I34" i="1"/>
  <c r="J68" i="1"/>
  <c r="H150" i="1"/>
  <c r="H117" i="1"/>
  <c r="H115" i="1"/>
  <c r="H106" i="1"/>
  <c r="H62" i="1"/>
  <c r="H68" i="1" s="1"/>
  <c r="G115" i="1"/>
  <c r="G150" i="1"/>
  <c r="G117" i="1"/>
  <c r="G62" i="1"/>
  <c r="G68" i="1" s="1"/>
  <c r="H99" i="1"/>
  <c r="F133" i="1"/>
  <c r="F134" i="1"/>
  <c r="I117" i="1"/>
  <c r="I115" i="1"/>
  <c r="I106" i="1"/>
  <c r="I150" i="1"/>
  <c r="I62" i="1"/>
  <c r="I68" i="1" s="1"/>
  <c r="H197" i="1"/>
  <c r="I198" i="1" s="1"/>
  <c r="I202" i="1" s="1"/>
  <c r="G116" i="1"/>
  <c r="K151" i="1" l="1"/>
  <c r="K149" i="1"/>
  <c r="K90" i="1"/>
  <c r="G151" i="1"/>
  <c r="G90" i="1"/>
  <c r="G149" i="1"/>
  <c r="I116" i="1"/>
  <c r="I196" i="1"/>
  <c r="G207" i="1"/>
  <c r="G203" i="1"/>
  <c r="I149" i="1"/>
  <c r="I151" i="1"/>
  <c r="I90" i="1"/>
  <c r="K34" i="1"/>
  <c r="K124" i="1"/>
  <c r="K180" i="1"/>
  <c r="K183" i="1" s="1"/>
  <c r="J190" i="1"/>
  <c r="J197" i="1" s="1"/>
  <c r="J186" i="1"/>
  <c r="J40" i="1" s="1"/>
  <c r="I207" i="1"/>
  <c r="I203" i="1"/>
  <c r="H196" i="1"/>
  <c r="G196" i="1"/>
  <c r="J116" i="1"/>
  <c r="J115" i="1"/>
  <c r="H149" i="1"/>
  <c r="H151" i="1"/>
  <c r="H90" i="1"/>
  <c r="H116" i="1"/>
  <c r="J169" i="1"/>
  <c r="J172" i="1" s="1"/>
  <c r="I177" i="1"/>
  <c r="I42" i="1" s="1"/>
  <c r="J174" i="1"/>
  <c r="J206" i="1" s="1"/>
  <c r="I189" i="1"/>
  <c r="I191" i="1" s="1"/>
  <c r="I193" i="1" s="1"/>
  <c r="I195" i="1" s="1"/>
  <c r="H198" i="1"/>
  <c r="H202" i="1" s="1"/>
  <c r="J151" i="1"/>
  <c r="J149" i="1"/>
  <c r="J90" i="1"/>
  <c r="K116" i="1" l="1"/>
  <c r="K115" i="1"/>
  <c r="H207" i="1"/>
  <c r="H203" i="1"/>
  <c r="I100" i="1"/>
  <c r="K198" i="1"/>
  <c r="K202" i="1" s="1"/>
  <c r="J198" i="1"/>
  <c r="J202" i="1" s="1"/>
  <c r="J189" i="1"/>
  <c r="J191" i="1" s="1"/>
  <c r="J193" i="1" s="1"/>
  <c r="J195" i="1" s="1"/>
  <c r="J177" i="1"/>
  <c r="J42" i="1" s="1"/>
  <c r="K169" i="1"/>
  <c r="K172" i="1" s="1"/>
  <c r="I131" i="1"/>
  <c r="I114" i="1"/>
  <c r="I208" i="1"/>
  <c r="I12" i="1"/>
  <c r="K186" i="1"/>
  <c r="K40" i="1" s="1"/>
  <c r="K190" i="1"/>
  <c r="K197" i="1" s="1"/>
  <c r="G208" i="1"/>
  <c r="G12" i="1"/>
  <c r="J196" i="1"/>
  <c r="J114" i="1"/>
  <c r="J131" i="1"/>
  <c r="J100" i="1"/>
  <c r="K99" i="1" l="1"/>
  <c r="K131" i="1"/>
  <c r="H208" i="1"/>
  <c r="H12" i="1"/>
  <c r="G70" i="1"/>
  <c r="G72" i="1" s="1"/>
  <c r="G135" i="1"/>
  <c r="G13" i="1"/>
  <c r="I70" i="1"/>
  <c r="I72" i="1" s="1"/>
  <c r="I13" i="1"/>
  <c r="I135" i="1"/>
  <c r="K189" i="1"/>
  <c r="K191" i="1" s="1"/>
  <c r="K193" i="1" s="1"/>
  <c r="K195" i="1" s="1"/>
  <c r="K196" i="1" s="1"/>
  <c r="K177" i="1"/>
  <c r="K42" i="1" s="1"/>
  <c r="J207" i="1"/>
  <c r="J203" i="1"/>
  <c r="K174" i="1"/>
  <c r="K206" i="1" s="1"/>
  <c r="K207" i="1"/>
  <c r="K203" i="1"/>
  <c r="J99" i="1"/>
  <c r="G14" i="1" l="1"/>
  <c r="G15" i="1"/>
  <c r="K114" i="1"/>
  <c r="I15" i="1"/>
  <c r="I14" i="1"/>
  <c r="H70" i="1"/>
  <c r="H72" i="1" s="1"/>
  <c r="H135" i="1"/>
  <c r="H13" i="1"/>
  <c r="K100" i="1"/>
  <c r="K208" i="1"/>
  <c r="K12" i="1"/>
  <c r="J208" i="1"/>
  <c r="J12" i="1"/>
  <c r="H14" i="1" l="1"/>
  <c r="H107" i="1"/>
  <c r="H15" i="1"/>
  <c r="K70" i="1"/>
  <c r="K72" i="1" s="1"/>
  <c r="K13" i="1"/>
  <c r="K135" i="1"/>
  <c r="I143" i="1"/>
  <c r="I109" i="1"/>
  <c r="I142" i="1"/>
  <c r="I17" i="1"/>
  <c r="I144" i="1"/>
  <c r="G142" i="1"/>
  <c r="G143" i="1"/>
  <c r="G17" i="1"/>
  <c r="G51" i="1" s="1"/>
  <c r="G109" i="1"/>
  <c r="G144" i="1"/>
  <c r="I107" i="1"/>
  <c r="G148" i="1"/>
  <c r="G44" i="1"/>
  <c r="G78" i="1" s="1"/>
  <c r="G79" i="1" s="1"/>
  <c r="J70" i="1"/>
  <c r="J72" i="1" s="1"/>
  <c r="J13" i="1"/>
  <c r="J135" i="1"/>
  <c r="I148" i="1"/>
  <c r="I44" i="1"/>
  <c r="G91" i="1" l="1"/>
  <c r="G92" i="1" s="1"/>
  <c r="G87" i="1"/>
  <c r="J107" i="1"/>
  <c r="J15" i="1"/>
  <c r="J14" i="1"/>
  <c r="G57" i="1"/>
  <c r="G52" i="1"/>
  <c r="H142" i="1"/>
  <c r="H108" i="1"/>
  <c r="H17" i="1"/>
  <c r="H51" i="1" s="1"/>
  <c r="H109" i="1"/>
  <c r="H143" i="1"/>
  <c r="H144" i="1"/>
  <c r="I108" i="1"/>
  <c r="I113" i="1"/>
  <c r="I112" i="1"/>
  <c r="I45" i="1"/>
  <c r="I47" i="1" s="1"/>
  <c r="G45" i="1"/>
  <c r="G47" i="1" s="1"/>
  <c r="G113" i="1"/>
  <c r="G112" i="1"/>
  <c r="K107" i="1"/>
  <c r="K14" i="1"/>
  <c r="K15" i="1"/>
  <c r="H148" i="1"/>
  <c r="H44" i="1"/>
  <c r="H57" i="1" l="1"/>
  <c r="H52" i="1"/>
  <c r="I51" i="1"/>
  <c r="J143" i="1"/>
  <c r="J109" i="1"/>
  <c r="J142" i="1"/>
  <c r="J108" i="1"/>
  <c r="J17" i="1"/>
  <c r="J144" i="1"/>
  <c r="K142" i="1"/>
  <c r="K108" i="1"/>
  <c r="K143" i="1"/>
  <c r="K109" i="1"/>
  <c r="K144" i="1"/>
  <c r="K17" i="1"/>
  <c r="H112" i="1"/>
  <c r="H113" i="1"/>
  <c r="H45" i="1"/>
  <c r="H47" i="1" s="1"/>
  <c r="I78" i="1"/>
  <c r="I79" i="1" s="1"/>
  <c r="K44" i="1"/>
  <c r="K148" i="1"/>
  <c r="G146" i="1"/>
  <c r="G145" i="1"/>
  <c r="H78" i="1"/>
  <c r="H79" i="1" s="1"/>
  <c r="I145" i="1"/>
  <c r="I146" i="1"/>
  <c r="G132" i="1"/>
  <c r="G56" i="1"/>
  <c r="J148" i="1"/>
  <c r="J44" i="1"/>
  <c r="G96" i="1"/>
  <c r="G98" i="1" s="1"/>
  <c r="G101" i="1" s="1"/>
  <c r="G212" i="1"/>
  <c r="J113" i="1" l="1"/>
  <c r="J112" i="1"/>
  <c r="J45" i="1"/>
  <c r="J47" i="1" s="1"/>
  <c r="G133" i="1"/>
  <c r="G134" i="1"/>
  <c r="G136" i="1"/>
  <c r="K113" i="1"/>
  <c r="K112" i="1"/>
  <c r="K45" i="1"/>
  <c r="K47" i="1" s="1"/>
  <c r="J78" i="1"/>
  <c r="J79" i="1" s="1"/>
  <c r="I91" i="1"/>
  <c r="I92" i="1" s="1"/>
  <c r="I87" i="1"/>
  <c r="I57" i="1"/>
  <c r="I52" i="1"/>
  <c r="J51" i="1"/>
  <c r="K78" i="1"/>
  <c r="K79" i="1" s="1"/>
  <c r="H132" i="1"/>
  <c r="H56" i="1"/>
  <c r="H91" i="1"/>
  <c r="H92" i="1" s="1"/>
  <c r="H87" i="1"/>
  <c r="H146" i="1"/>
  <c r="H145" i="1"/>
  <c r="H96" i="1" l="1"/>
  <c r="H98" i="1" s="1"/>
  <c r="H101" i="1" s="1"/>
  <c r="H212" i="1"/>
  <c r="H134" i="1"/>
  <c r="H133" i="1"/>
  <c r="H136" i="1"/>
  <c r="J146" i="1"/>
  <c r="J145" i="1"/>
  <c r="K91" i="1"/>
  <c r="K92" i="1" s="1"/>
  <c r="K87" i="1"/>
  <c r="I96" i="1"/>
  <c r="I98" i="1" s="1"/>
  <c r="I101" i="1" s="1"/>
  <c r="I212" i="1"/>
  <c r="J52" i="1"/>
  <c r="K51" i="1"/>
  <c r="J57" i="1"/>
  <c r="K146" i="1"/>
  <c r="K145" i="1"/>
  <c r="I132" i="1"/>
  <c r="I56" i="1"/>
  <c r="J91" i="1"/>
  <c r="J92" i="1" s="1"/>
  <c r="J87" i="1"/>
  <c r="I134" i="1" l="1"/>
  <c r="I133" i="1"/>
  <c r="I136" i="1"/>
  <c r="K57" i="1"/>
  <c r="K52" i="1"/>
  <c r="K96" i="1"/>
  <c r="K98" i="1" s="1"/>
  <c r="K101" i="1" s="1"/>
  <c r="K212" i="1"/>
  <c r="J96" i="1"/>
  <c r="J98" i="1" s="1"/>
  <c r="J101" i="1" s="1"/>
  <c r="J212" i="1"/>
  <c r="J132" i="1"/>
  <c r="J56" i="1"/>
  <c r="K132" i="1" l="1"/>
  <c r="K56" i="1"/>
  <c r="E3" i="1" s="1"/>
  <c r="J133" i="1"/>
  <c r="J134" i="1"/>
  <c r="J136" i="1"/>
  <c r="K133" i="1" l="1"/>
  <c r="K134" i="1"/>
  <c r="K136" i="1"/>
</calcChain>
</file>

<file path=xl/sharedStrings.xml><?xml version="1.0" encoding="utf-8"?>
<sst xmlns="http://schemas.openxmlformats.org/spreadsheetml/2006/main" count="204" uniqueCount="163">
  <si>
    <t>Wingate Foods</t>
  </si>
  <si>
    <t>Financial statements and ratios</t>
  </si>
  <si>
    <t>Year 0</t>
  </si>
  <si>
    <t>Year 1</t>
  </si>
  <si>
    <t>Year 2</t>
  </si>
  <si>
    <t>Year 3</t>
  </si>
  <si>
    <t>Year 4</t>
  </si>
  <si>
    <t>Year 5</t>
  </si>
  <si>
    <t>Profit and loss account</t>
  </si>
  <si>
    <t>Sales</t>
  </si>
  <si>
    <t>Cost of sales</t>
  </si>
  <si>
    <t>Gross profit</t>
  </si>
  <si>
    <t>Distribution expenses</t>
  </si>
  <si>
    <t>Administration expenses</t>
  </si>
  <si>
    <t>Operating profit</t>
  </si>
  <si>
    <t>Interest payable</t>
  </si>
  <si>
    <t>Profit before tax</t>
  </si>
  <si>
    <t>Tax</t>
  </si>
  <si>
    <t>Profit for the year</t>
  </si>
  <si>
    <t>Dividends</t>
  </si>
  <si>
    <t>Retained profit for the year</t>
  </si>
  <si>
    <t>Balance sheet at period end</t>
  </si>
  <si>
    <t>Capital employed</t>
  </si>
  <si>
    <t>Fixed assets</t>
  </si>
  <si>
    <t>Working capital</t>
  </si>
  <si>
    <t>Stock</t>
  </si>
  <si>
    <t>RM</t>
  </si>
  <si>
    <t>WIP</t>
  </si>
  <si>
    <t>Finished goods</t>
  </si>
  <si>
    <t>Total</t>
  </si>
  <si>
    <t>Trade debtors</t>
  </si>
  <si>
    <t>Other debtors</t>
  </si>
  <si>
    <t>Trade creditors</t>
  </si>
  <si>
    <t>Other creditors</t>
  </si>
  <si>
    <t>Total WC</t>
  </si>
  <si>
    <t>Total capital employed</t>
  </si>
  <si>
    <t>Non-operating items</t>
  </si>
  <si>
    <t>Cash</t>
  </si>
  <si>
    <t>Overdraft</t>
  </si>
  <si>
    <t>Loans - current portion</t>
  </si>
  <si>
    <t>Loans - non-current portion</t>
  </si>
  <si>
    <t>Finance leases - current portion</t>
  </si>
  <si>
    <t>Finance leases - non-current portion</t>
  </si>
  <si>
    <t>Dividends payable</t>
  </si>
  <si>
    <t>Net assets</t>
  </si>
  <si>
    <t>Shareholders funds</t>
  </si>
  <si>
    <t>Capital invested</t>
  </si>
  <si>
    <t>Retained profit</t>
  </si>
  <si>
    <t>Number of shares in issue</t>
  </si>
  <si>
    <t>check balance sheet balances</t>
  </si>
  <si>
    <t>check change in ret profit</t>
  </si>
  <si>
    <t xml:space="preserve">na </t>
  </si>
  <si>
    <t>Cash flow</t>
  </si>
  <si>
    <t>Cash flow from operating activities</t>
  </si>
  <si>
    <t>Depreciation</t>
  </si>
  <si>
    <t>Profit on sale of fixed assets</t>
  </si>
  <si>
    <t>Increase in stock</t>
  </si>
  <si>
    <t>Increase in debtors</t>
  </si>
  <si>
    <t>Increase in creditors</t>
  </si>
  <si>
    <t>Servicing of finance</t>
  </si>
  <si>
    <t>Interest paid</t>
  </si>
  <si>
    <t>Dividends paid</t>
  </si>
  <si>
    <t>Investing activities</t>
  </si>
  <si>
    <t>Purchase of fixed assets</t>
  </si>
  <si>
    <t>Proceeds on sale of fixed assets</t>
  </si>
  <si>
    <t>Taxation</t>
  </si>
  <si>
    <t>Corporation tax paid</t>
  </si>
  <si>
    <t>Financing and other</t>
  </si>
  <si>
    <t>Loans drawn down</t>
  </si>
  <si>
    <t>Loan repayments</t>
  </si>
  <si>
    <t>Finance lease advances</t>
  </si>
  <si>
    <t>Finance lease repayments</t>
  </si>
  <si>
    <t>Change in cash position</t>
  </si>
  <si>
    <t>Operating CF after capex</t>
  </si>
  <si>
    <t>Cashflow available for debt service</t>
  </si>
  <si>
    <t>CFADS before capex</t>
  </si>
  <si>
    <t>Reconciliation of net cash flow to movement in net debt</t>
  </si>
  <si>
    <t>Decrease in cash / increase in overdraft</t>
  </si>
  <si>
    <t>Loans / leases (drawn down) / repaid</t>
  </si>
  <si>
    <t>Change in net debt</t>
  </si>
  <si>
    <t>Net debt at start of year</t>
  </si>
  <si>
    <t>Net debt at end of year</t>
  </si>
  <si>
    <t>check</t>
  </si>
  <si>
    <t>Ratios etc</t>
  </si>
  <si>
    <t>Sales growth</t>
  </si>
  <si>
    <t>Operating profit growth</t>
  </si>
  <si>
    <t>Profit before tax growth</t>
  </si>
  <si>
    <t>Profit after tax growth</t>
  </si>
  <si>
    <t>Earnings per share - pence</t>
  </si>
  <si>
    <t>Total assets</t>
  </si>
  <si>
    <t>Current assets</t>
  </si>
  <si>
    <t>Total liabilities</t>
  </si>
  <si>
    <t>Current liabilities</t>
  </si>
  <si>
    <t>Long term liabilities</t>
  </si>
  <si>
    <t>ROCE</t>
  </si>
  <si>
    <t>Capital productivity</t>
  </si>
  <si>
    <t>Return on sales</t>
  </si>
  <si>
    <t>COGS%</t>
  </si>
  <si>
    <t>GM</t>
  </si>
  <si>
    <t>Mark up</t>
  </si>
  <si>
    <t>Distribution as % of sales</t>
  </si>
  <si>
    <t>Admin as % of sales</t>
  </si>
  <si>
    <t>Fixed asset productivity</t>
  </si>
  <si>
    <t>WC productivity</t>
  </si>
  <si>
    <t>Trade debtor productivity</t>
  </si>
  <si>
    <t>Debtor days entered</t>
  </si>
  <si>
    <t>Debtor days calculated back</t>
  </si>
  <si>
    <t>Trade creditor productivity</t>
  </si>
  <si>
    <t>Stock productivity</t>
  </si>
  <si>
    <t>Finished stock days</t>
  </si>
  <si>
    <t>Net debt (inc finance leases)</t>
  </si>
  <si>
    <t>Total equity</t>
  </si>
  <si>
    <t>Debt to total funding ratio</t>
  </si>
  <si>
    <t>Debt / equity</t>
  </si>
  <si>
    <t>Interest cover</t>
  </si>
  <si>
    <t>Return on equity</t>
  </si>
  <si>
    <t>Average net debt</t>
  </si>
  <si>
    <t>See below</t>
  </si>
  <si>
    <t>Average interest rate</t>
  </si>
  <si>
    <t>Proposed dividends</t>
  </si>
  <si>
    <t>Growth in proposed dividends</t>
  </si>
  <si>
    <t>Proposed dividend per share</t>
  </si>
  <si>
    <t>Dividend cover - Paid dividends</t>
  </si>
  <si>
    <t>Dividend cover - Proposed dividends</t>
  </si>
  <si>
    <t>Payout ratio</t>
  </si>
  <si>
    <t>Current ratio</t>
  </si>
  <si>
    <t>Quick ratio</t>
  </si>
  <si>
    <t>Tax rate - Input</t>
  </si>
  <si>
    <t>Tax rate - calculated back off rounded numbers</t>
  </si>
  <si>
    <t>Operating profit cash conversion</t>
  </si>
  <si>
    <t>EBITDA</t>
  </si>
  <si>
    <t>EBITDA cash conversion</t>
  </si>
  <si>
    <t>Detail and breakdowns</t>
  </si>
  <si>
    <t>Leases</t>
  </si>
  <si>
    <t>Lease 1</t>
  </si>
  <si>
    <t>Opening balance</t>
  </si>
  <si>
    <t>Addition in the period</t>
  </si>
  <si>
    <t>Repayments</t>
  </si>
  <si>
    <t>Closing balance</t>
  </si>
  <si>
    <t>Interest paid in the period</t>
  </si>
  <si>
    <t>Lease 2</t>
  </si>
  <si>
    <t>Total leases</t>
  </si>
  <si>
    <t>Average lease balance</t>
  </si>
  <si>
    <t>Split of lease capital at period end</t>
  </si>
  <si>
    <t>Current</t>
  </si>
  <si>
    <t>Non-current</t>
  </si>
  <si>
    <t>Bank loans</t>
  </si>
  <si>
    <t>Additions in the period</t>
  </si>
  <si>
    <t>Repayments in the period</t>
  </si>
  <si>
    <t>Split</t>
  </si>
  <si>
    <t>Total debt</t>
  </si>
  <si>
    <t>Total gross debt</t>
  </si>
  <si>
    <t>Net debt (inc leases)</t>
  </si>
  <si>
    <t>Average net debt inc leases</t>
  </si>
  <si>
    <t>Net bank debt only</t>
  </si>
  <si>
    <t>Average net bank debt</t>
  </si>
  <si>
    <t>Interest</t>
  </si>
  <si>
    <t>Bank loans / overdraft</t>
  </si>
  <si>
    <t>Interest rate, based on average balances</t>
  </si>
  <si>
    <t>Input average bank interest rates</t>
  </si>
  <si>
    <t>checks</t>
  </si>
  <si>
    <t>Cash flow = change in cash balance</t>
  </si>
  <si>
    <t>FA change - capex - deprec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</si>
</sst>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\ #,##0_);\(#,##0\)"/>
    <numFmt numFmtId="165" formatCode="0_)"/>
    <numFmt numFmtId="166" formatCode="\ #,##0.00_);\(#,##0.00\)"/>
    <numFmt numFmtId="167" formatCode="#,##0.0_);\(#,##0.0\)"/>
    <numFmt numFmtId="168" formatCode="\ #,##0.000_);\(#,##0.000\)"/>
    <numFmt numFmtId="169" formatCode="\ #,##0.0000_);\(#,##0.0000\)"/>
    <numFmt numFmtId="170" formatCode="0.000%"/>
    <numFmt numFmtId="171" formatCode="0.0%"/>
    <numFmt numFmtId="172" formatCode="\ #,##0.0_);\(#,##0.0\)"/>
  </numFmts>
  <fonts count="13" x14ac:knownFonts="1">
    <font>
      <sz val="10"/>
      <name val="Trebuchet MS"/>
      <family val="2"/>
    </font>
    <font>
      <sz val="10"/>
      <name val="Trebuchet MS"/>
      <family val="2"/>
    </font>
    <font>
      <b/>
      <sz val="14"/>
      <name val="Trebuchet MS"/>
      <family val="2"/>
    </font>
    <font>
      <b/>
      <sz val="10"/>
      <color indexed="39"/>
      <name val="Trebuchet MS"/>
      <family val="2"/>
    </font>
    <font>
      <b/>
      <sz val="10"/>
      <name val="Trebuchet MS"/>
      <family val="2"/>
    </font>
    <font>
      <b/>
      <sz val="14"/>
      <color indexed="17"/>
      <name val="Trebuchet MS"/>
      <family val="2"/>
    </font>
    <font>
      <sz val="10"/>
      <color indexed="16"/>
      <name val="Trebuchet MS"/>
      <family val="2"/>
    </font>
    <font>
      <sz val="10"/>
      <color indexed="8"/>
      <name val="Trebuchet MS"/>
      <family val="2"/>
    </font>
    <font>
      <sz val="10"/>
      <color indexed="17"/>
      <name val="Trebuchet MS"/>
      <family val="2"/>
    </font>
    <font>
      <sz val="10"/>
      <color indexed="10"/>
      <name val="Trebuchet MS"/>
      <family val="2"/>
    </font>
    <font>
      <sz val="12"/>
      <name val="Times New Roman"/>
      <family val="1"/>
    </font>
    <font>
      <sz val="10"/>
      <color indexed="39"/>
      <name val="Trebuchet MS"/>
      <family val="2"/>
    </font>
    <font>
      <sz val="10"/>
      <color rgb="FFFF0000"/>
      <name val="Trebuchet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164" fontId="0" fillId="0" borderId="0"/>
    <xf numFmtId="9" fontId="10" fillId="0" borderId="0" applyFont="0" applyFill="0" applyBorder="0" applyAlignment="0" applyProtection="0"/>
    <xf numFmtId="37" fontId="1" fillId="0" borderId="0"/>
  </cellStyleXfs>
  <cellXfs count="92">
    <xf numFmtId="164" fontId="0" fillId="0" borderId="0" xfId="0"/>
    <xf numFmtId="164" fontId="2" fillId="0" borderId="0" xfId="0" quotePrefix="1" applyFont="1" applyAlignment="1">
      <alignment horizontal="left"/>
    </xf>
    <xf numFmtId="164" fontId="2" fillId="0" borderId="0" xfId="0" applyFont="1"/>
    <xf numFmtId="37" fontId="3" fillId="0" borderId="0" xfId="0" applyNumberFormat="1" applyFont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right" wrapText="1"/>
    </xf>
    <xf numFmtId="165" fontId="4" fillId="0" borderId="0" xfId="0" quotePrefix="1" applyNumberFormat="1" applyFont="1" applyBorder="1" applyAlignment="1">
      <alignment horizontal="right" wrapText="1"/>
    </xf>
    <xf numFmtId="165" fontId="4" fillId="0" borderId="0" xfId="0" applyNumberFormat="1" applyFont="1" applyBorder="1" applyAlignment="1">
      <alignment horizontal="right" wrapText="1"/>
    </xf>
    <xf numFmtId="164" fontId="5" fillId="0" borderId="0" xfId="0" applyFont="1"/>
    <xf numFmtId="39" fontId="0" fillId="0" borderId="0" xfId="0" applyNumberFormat="1"/>
    <xf numFmtId="165" fontId="0" fillId="0" borderId="0" xfId="0" applyNumberFormat="1" applyAlignment="1">
      <alignment horizontal="right" wrapText="1"/>
    </xf>
    <xf numFmtId="165" fontId="0" fillId="0" borderId="0" xfId="0" quotePrefix="1" applyNumberFormat="1" applyAlignment="1">
      <alignment horizontal="right" wrapText="1"/>
    </xf>
    <xf numFmtId="164" fontId="6" fillId="0" borderId="0" xfId="0" applyFont="1"/>
    <xf numFmtId="164" fontId="6" fillId="0" borderId="0" xfId="0" applyFont="1" applyFill="1"/>
    <xf numFmtId="164" fontId="0" fillId="0" borderId="1" xfId="0" applyBorder="1"/>
    <xf numFmtId="164" fontId="0" fillId="0" borderId="1" xfId="0" applyNumberFormat="1" applyBorder="1"/>
    <xf numFmtId="164" fontId="7" fillId="0" borderId="0" xfId="0" applyNumberFormat="1" applyFont="1" applyFill="1"/>
    <xf numFmtId="164" fontId="0" fillId="0" borderId="1" xfId="0" applyFill="1" applyBorder="1"/>
    <xf numFmtId="164" fontId="0" fillId="0" borderId="0" xfId="0" applyFill="1" applyBorder="1"/>
    <xf numFmtId="164" fontId="7" fillId="0" borderId="0" xfId="0" applyFont="1" applyFill="1"/>
    <xf numFmtId="164" fontId="4" fillId="0" borderId="0" xfId="0" quotePrefix="1" applyFont="1" applyAlignment="1">
      <alignment horizontal="left" vertical="center"/>
    </xf>
    <xf numFmtId="164" fontId="4" fillId="0" borderId="0" xfId="0" applyFont="1" applyAlignment="1">
      <alignment vertical="center"/>
    </xf>
    <xf numFmtId="164" fontId="4" fillId="0" borderId="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quotePrefix="1" applyAlignment="1">
      <alignment horizontal="left"/>
    </xf>
    <xf numFmtId="164" fontId="0" fillId="0" borderId="2" xfId="0" applyBorder="1"/>
    <xf numFmtId="164" fontId="5" fillId="0" borderId="0" xfId="0" quotePrefix="1" applyFont="1" applyAlignment="1">
      <alignment horizontal="left"/>
    </xf>
    <xf numFmtId="164" fontId="7" fillId="0" borderId="1" xfId="0" applyFont="1" applyBorder="1"/>
    <xf numFmtId="164" fontId="6" fillId="0" borderId="0" xfId="0" applyNumberFormat="1" applyFont="1" applyFill="1"/>
    <xf numFmtId="164" fontId="8" fillId="0" borderId="0" xfId="0" applyNumberFormat="1" applyFont="1" applyFill="1"/>
    <xf numFmtId="164" fontId="0" fillId="0" borderId="0" xfId="0" applyFill="1"/>
    <xf numFmtId="164" fontId="0" fillId="0" borderId="0" xfId="0" applyBorder="1"/>
    <xf numFmtId="164" fontId="6" fillId="0" borderId="0" xfId="0" applyFont="1" applyBorder="1"/>
    <xf numFmtId="166" fontId="0" fillId="0" borderId="0" xfId="0" applyNumberFormat="1" applyBorder="1"/>
    <xf numFmtId="166" fontId="0" fillId="0" borderId="0" xfId="0" quotePrefix="1" applyNumberFormat="1" applyAlignment="1">
      <alignment horizontal="right"/>
    </xf>
    <xf numFmtId="166" fontId="0" fillId="0" borderId="0" xfId="0" applyNumberFormat="1"/>
    <xf numFmtId="167" fontId="0" fillId="0" borderId="0" xfId="0" quotePrefix="1" applyNumberFormat="1" applyAlignment="1">
      <alignment horizontal="right"/>
    </xf>
    <xf numFmtId="167" fontId="0" fillId="0" borderId="0" xfId="0" applyNumberFormat="1"/>
    <xf numFmtId="164" fontId="7" fillId="0" borderId="0" xfId="0" applyFont="1" applyAlignment="1">
      <alignment horizontal="right"/>
    </xf>
    <xf numFmtId="164" fontId="9" fillId="0" borderId="0" xfId="0" applyFont="1"/>
    <xf numFmtId="164" fontId="7" fillId="0" borderId="0" xfId="0" applyFont="1"/>
    <xf numFmtId="164" fontId="0" fillId="0" borderId="0" xfId="0" applyAlignment="1">
      <alignment horizontal="left"/>
    </xf>
    <xf numFmtId="164" fontId="6" fillId="0" borderId="0" xfId="0" applyFont="1" applyAlignment="1">
      <alignment horizontal="right"/>
    </xf>
    <xf numFmtId="164" fontId="4" fillId="0" borderId="0" xfId="0" applyFont="1"/>
    <xf numFmtId="164" fontId="4" fillId="0" borderId="0" xfId="0" applyFont="1" applyFill="1"/>
    <xf numFmtId="164" fontId="0" fillId="0" borderId="0" xfId="0" applyNumberFormat="1"/>
    <xf numFmtId="168" fontId="0" fillId="0" borderId="0" xfId="0" applyNumberFormat="1"/>
    <xf numFmtId="10" fontId="0" fillId="0" borderId="0" xfId="1" quotePrefix="1" applyNumberFormat="1" applyFont="1" applyAlignment="1">
      <alignment horizontal="right"/>
    </xf>
    <xf numFmtId="10" fontId="0" fillId="0" borderId="0" xfId="1" applyNumberFormat="1" applyFont="1"/>
    <xf numFmtId="10" fontId="0" fillId="0" borderId="0" xfId="1" applyNumberFormat="1" applyFont="1" applyFill="1"/>
    <xf numFmtId="166" fontId="0" fillId="0" borderId="0" xfId="1" applyNumberFormat="1" applyFont="1"/>
    <xf numFmtId="10" fontId="4" fillId="0" borderId="0" xfId="1" applyNumberFormat="1" applyFont="1"/>
    <xf numFmtId="10" fontId="4" fillId="0" borderId="0" xfId="1" applyNumberFormat="1" applyFont="1" applyFill="1"/>
    <xf numFmtId="168" fontId="1" fillId="0" borderId="0" xfId="1" applyNumberFormat="1" applyFont="1"/>
    <xf numFmtId="169" fontId="1" fillId="0" borderId="0" xfId="1" applyNumberFormat="1" applyFont="1" applyFill="1"/>
    <xf numFmtId="10" fontId="1" fillId="0" borderId="0" xfId="1" applyNumberFormat="1" applyFont="1"/>
    <xf numFmtId="170" fontId="1" fillId="0" borderId="0" xfId="1" applyNumberFormat="1" applyFont="1" applyFill="1"/>
    <xf numFmtId="10" fontId="1" fillId="0" borderId="0" xfId="1" applyNumberFormat="1" applyFont="1" applyFill="1"/>
    <xf numFmtId="166" fontId="1" fillId="0" borderId="0" xfId="1" applyNumberFormat="1" applyFont="1"/>
    <xf numFmtId="166" fontId="6" fillId="0" borderId="0" xfId="1" applyNumberFormat="1" applyFont="1"/>
    <xf numFmtId="166" fontId="1" fillId="0" borderId="0" xfId="1" applyNumberFormat="1" applyFont="1" applyFill="1"/>
    <xf numFmtId="164" fontId="1" fillId="0" borderId="0" xfId="1" applyNumberFormat="1" applyFont="1"/>
    <xf numFmtId="171" fontId="1" fillId="0" borderId="0" xfId="1" applyNumberFormat="1" applyFont="1"/>
    <xf numFmtId="9" fontId="1" fillId="0" borderId="0" xfId="1" applyNumberFormat="1" applyFont="1"/>
    <xf numFmtId="172" fontId="1" fillId="0" borderId="0" xfId="1" applyNumberFormat="1" applyFont="1"/>
    <xf numFmtId="164" fontId="0" fillId="0" borderId="0" xfId="0" applyAlignment="1">
      <alignment horizontal="centerContinuous"/>
    </xf>
    <xf numFmtId="171" fontId="1" fillId="0" borderId="0" xfId="1" applyNumberFormat="1" applyFont="1" applyAlignment="1">
      <alignment horizontal="centerContinuous"/>
    </xf>
    <xf numFmtId="171" fontId="7" fillId="0" borderId="0" xfId="1" applyNumberFormat="1" applyFont="1"/>
    <xf numFmtId="172" fontId="7" fillId="0" borderId="0" xfId="0" applyNumberFormat="1" applyFont="1"/>
    <xf numFmtId="172" fontId="1" fillId="0" borderId="0" xfId="1" applyNumberFormat="1" applyFont="1" applyFill="1"/>
    <xf numFmtId="171" fontId="1" fillId="0" borderId="0" xfId="1" applyNumberFormat="1" applyFont="1" applyFill="1"/>
    <xf numFmtId="171" fontId="6" fillId="0" borderId="0" xfId="1" applyNumberFormat="1" applyFont="1" applyFill="1"/>
    <xf numFmtId="171" fontId="7" fillId="0" borderId="0" xfId="1" applyNumberFormat="1" applyFont="1" applyFill="1"/>
    <xf numFmtId="164" fontId="7" fillId="0" borderId="0" xfId="1" applyNumberFormat="1" applyFont="1" applyFill="1"/>
    <xf numFmtId="164" fontId="5" fillId="0" borderId="0" xfId="0" applyFont="1" applyAlignment="1">
      <alignment horizontal="left"/>
    </xf>
    <xf numFmtId="172" fontId="0" fillId="0" borderId="0" xfId="0" applyNumberFormat="1"/>
    <xf numFmtId="172" fontId="0" fillId="0" borderId="0" xfId="0" applyNumberFormat="1" applyFill="1"/>
    <xf numFmtId="172" fontId="6" fillId="0" borderId="0" xfId="0" applyNumberFormat="1" applyFont="1" applyFill="1"/>
    <xf numFmtId="164" fontId="11" fillId="0" borderId="0" xfId="0" applyFont="1" applyFill="1"/>
    <xf numFmtId="172" fontId="6" fillId="0" borderId="1" xfId="0" applyNumberFormat="1" applyFont="1" applyBorder="1"/>
    <xf numFmtId="172" fontId="0" fillId="0" borderId="1" xfId="0" applyNumberFormat="1" applyBorder="1"/>
    <xf numFmtId="172" fontId="0" fillId="0" borderId="1" xfId="0" applyNumberFormat="1" applyFill="1" applyBorder="1"/>
    <xf numFmtId="171" fontId="0" fillId="0" borderId="0" xfId="1" applyNumberFormat="1" applyFont="1" applyFill="1"/>
    <xf numFmtId="172" fontId="11" fillId="0" borderId="0" xfId="0" applyNumberFormat="1" applyFont="1" applyFill="1"/>
    <xf numFmtId="172" fontId="6" fillId="0" borderId="0" xfId="0" applyNumberFormat="1" applyFont="1" applyBorder="1"/>
    <xf numFmtId="172" fontId="0" fillId="0" borderId="0" xfId="0" applyNumberFormat="1" applyBorder="1"/>
    <xf numFmtId="172" fontId="0" fillId="0" borderId="0" xfId="0" applyNumberFormat="1" applyFill="1" applyBorder="1"/>
    <xf numFmtId="172" fontId="6" fillId="0" borderId="0" xfId="0" applyNumberFormat="1" applyFont="1" applyFill="1" applyBorder="1"/>
    <xf numFmtId="172" fontId="6" fillId="0" borderId="0" xfId="0" applyNumberFormat="1" applyFont="1"/>
    <xf numFmtId="164" fontId="12" fillId="0" borderId="0" xfId="0" applyFont="1"/>
    <xf numFmtId="10" fontId="0" fillId="0" borderId="0" xfId="1" applyNumberFormat="1" applyFont="1" applyAlignment="1">
      <alignment horizontal="right"/>
    </xf>
    <xf numFmtId="10" fontId="0" fillId="0" borderId="1" xfId="1" applyNumberFormat="1" applyFont="1" applyBorder="1"/>
    <xf numFmtId="10" fontId="6" fillId="0" borderId="0" xfId="1" applyNumberFormat="1" applyFont="1" applyFill="1"/>
  </cellXfs>
  <cellStyles count="3">
    <cellStyle name="Normal" xfId="0" builtinId="0"/>
    <cellStyle name="Normal 2" xfId="2"/>
    <cellStyle name="Percent" xfId="1" builtinId="5"/>
  </cellStyles>
  <dxfs count="1"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195228</xdr:colOff>
      <xdr:row>13</xdr:row>
      <xdr:rowOff>12819</xdr:rowOff>
    </xdr:from>
    <xdr:to>
      <xdr:col>11</xdr:col>
      <xdr:colOff>1353402</xdr:colOff>
      <xdr:row>19</xdr:row>
      <xdr:rowOff>193344</xdr:rowOff>
    </xdr:to>
    <xdr:sp macro="" textlink="">
      <xdr:nvSpPr>
        <xdr:cNvPr id="2" name="Text Box 31"/>
        <xdr:cNvSpPr txBox="1">
          <a:spLocks noChangeArrowheads="1"/>
        </xdr:cNvSpPr>
      </xdr:nvSpPr>
      <xdr:spPr bwMode="auto">
        <a:xfrm>
          <a:off x="7394422" y="2612718"/>
          <a:ext cx="1158174" cy="12723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t" upright="1"/>
        <a:lstStyle/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Trebuchet MS"/>
            </a:rPr>
            <a:t>Remember that dividends and retained profit for the year are NOT shown on the face of the P&amp;L any more.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3"/>
  <sheetViews>
    <sheetView showGridLines="0" tabSelected="1" zoomScale="90" zoomScaleNormal="90" workbookViewId="0">
      <pane ySplit="4" topLeftCell="A5" activePane="bottomLeft" state="frozen"/>
      <selection activeCell="J141" sqref="J141"/>
      <selection pane="bottomLeft" activeCell="A5" sqref="A5"/>
    </sheetView>
  </sheetViews>
  <sheetFormatPr defaultRowHeight="13.45" x14ac:dyDescent="0.3"/>
  <cols>
    <col min="1" max="1" width="2.59765625" customWidth="1"/>
    <col min="2" max="3" width="2.69921875" customWidth="1"/>
    <col min="4" max="4" width="2" customWidth="1"/>
    <col min="5" max="5" width="27.09765625" customWidth="1"/>
    <col min="6" max="11" width="11.3984375" bestFit="1" customWidth="1"/>
    <col min="12" max="12" width="21.59765625" customWidth="1"/>
    <col min="13" max="13" width="17.09765625" customWidth="1"/>
  </cols>
  <sheetData>
    <row r="1" spans="2:12" ht="19.5" customHeight="1" x14ac:dyDescent="0.4">
      <c r="B1" s="1" t="s">
        <v>0</v>
      </c>
    </row>
    <row r="2" spans="2:12" ht="21.8" customHeight="1" x14ac:dyDescent="0.4">
      <c r="B2" s="2" t="s">
        <v>1</v>
      </c>
    </row>
    <row r="3" spans="2:12" x14ac:dyDescent="0.3">
      <c r="E3" s="3">
        <f>SUMSQ(F56:K56,F212:K212,F101:K101)</f>
        <v>0</v>
      </c>
    </row>
    <row r="4" spans="2:12" ht="21.8" customHeight="1" x14ac:dyDescent="0.3">
      <c r="F4" s="4" t="s">
        <v>2</v>
      </c>
      <c r="G4" s="5" t="s">
        <v>3</v>
      </c>
      <c r="H4" s="5" t="s">
        <v>4</v>
      </c>
      <c r="I4" s="5" t="s">
        <v>5</v>
      </c>
      <c r="J4" s="6" t="s">
        <v>6</v>
      </c>
      <c r="K4" s="5" t="s">
        <v>7</v>
      </c>
    </row>
    <row r="5" spans="2:12" ht="21.8" customHeight="1" x14ac:dyDescent="0.4">
      <c r="B5" s="7" t="s">
        <v>8</v>
      </c>
      <c r="G5" s="8"/>
      <c r="H5" s="8"/>
      <c r="J5" s="9"/>
      <c r="K5" s="10"/>
    </row>
    <row r="6" spans="2:12" x14ac:dyDescent="0.3">
      <c r="B6" t="s">
        <v>9</v>
      </c>
      <c r="G6" s="11">
        <v>5380</v>
      </c>
      <c r="H6" s="11">
        <v>6184</v>
      </c>
      <c r="I6" s="11">
        <v>7385</v>
      </c>
      <c r="J6" s="11">
        <v>8619</v>
      </c>
      <c r="K6" s="12">
        <f>10437-10</f>
        <v>10427</v>
      </c>
    </row>
    <row r="7" spans="2:12" x14ac:dyDescent="0.3">
      <c r="B7" t="s">
        <v>10</v>
      </c>
      <c r="G7" s="11">
        <v>-4046</v>
      </c>
      <c r="H7" s="11">
        <v>-4669</v>
      </c>
      <c r="I7" s="11">
        <v>-5623</v>
      </c>
      <c r="J7" s="11">
        <v>-6628</v>
      </c>
      <c r="K7" s="11">
        <v>-8078</v>
      </c>
    </row>
    <row r="8" spans="2:12" x14ac:dyDescent="0.3">
      <c r="B8" t="s">
        <v>11</v>
      </c>
      <c r="G8" s="13">
        <f>SUM(G6:G7)</f>
        <v>1334</v>
      </c>
      <c r="H8" s="13">
        <f>SUM(H6:H7)</f>
        <v>1515</v>
      </c>
      <c r="I8" s="13">
        <f>SUM(I6:I7)</f>
        <v>1762</v>
      </c>
      <c r="J8" s="13">
        <f>SUM(J6:J7)</f>
        <v>1991</v>
      </c>
      <c r="K8" s="13">
        <f>SUM(K6:K7)</f>
        <v>2349</v>
      </c>
    </row>
    <row r="9" spans="2:12" x14ac:dyDescent="0.3">
      <c r="B9" t="s">
        <v>12</v>
      </c>
      <c r="G9" s="11">
        <f>-430+2</f>
        <v>-428</v>
      </c>
      <c r="H9" s="11">
        <v>-513</v>
      </c>
      <c r="I9" s="11">
        <f>-597-3</f>
        <v>-600</v>
      </c>
      <c r="J9" s="11">
        <f>-673+4-4</f>
        <v>-673</v>
      </c>
      <c r="K9" s="11">
        <f>-825-7</f>
        <v>-832</v>
      </c>
    </row>
    <row r="10" spans="2:12" x14ac:dyDescent="0.3">
      <c r="B10" t="s">
        <v>13</v>
      </c>
      <c r="G10" s="11">
        <f>-357-2</f>
        <v>-359</v>
      </c>
      <c r="H10" s="11">
        <v>-401</v>
      </c>
      <c r="I10" s="11">
        <f>-434+3</f>
        <v>-431</v>
      </c>
      <c r="J10" s="11">
        <f>-491-4-5</f>
        <v>-500</v>
      </c>
      <c r="K10" s="11">
        <f>-605+7</f>
        <v>-598</v>
      </c>
    </row>
    <row r="11" spans="2:12" x14ac:dyDescent="0.3">
      <c r="B11" t="s">
        <v>14</v>
      </c>
      <c r="G11" s="14">
        <f>SUM(G8:G10)</f>
        <v>547</v>
      </c>
      <c r="H11" s="14">
        <f>SUM(H8:H10)</f>
        <v>601</v>
      </c>
      <c r="I11" s="14">
        <f>SUM(I8:I10)</f>
        <v>731</v>
      </c>
      <c r="J11" s="14">
        <f>SUM(J8:J10)</f>
        <v>818</v>
      </c>
      <c r="K11" s="14">
        <f>SUM(K8:K10)</f>
        <v>919</v>
      </c>
    </row>
    <row r="12" spans="2:12" x14ac:dyDescent="0.3">
      <c r="B12" t="s">
        <v>15</v>
      </c>
      <c r="G12" s="15">
        <f t="shared" ref="G12:J12" si="0">G203</f>
        <v>-92</v>
      </c>
      <c r="H12" s="15">
        <f t="shared" si="0"/>
        <v>-118</v>
      </c>
      <c r="I12" s="15">
        <f t="shared" si="0"/>
        <v>-201</v>
      </c>
      <c r="J12" s="15">
        <f t="shared" si="0"/>
        <v>-261</v>
      </c>
      <c r="K12" s="15">
        <f>K203</f>
        <v>-325</v>
      </c>
    </row>
    <row r="13" spans="2:12" x14ac:dyDescent="0.3">
      <c r="B13" t="s">
        <v>16</v>
      </c>
      <c r="G13" s="16">
        <f>SUM(G11:G12)</f>
        <v>455</v>
      </c>
      <c r="H13" s="16">
        <f>SUM(H11:H12)</f>
        <v>483</v>
      </c>
      <c r="I13" s="16">
        <f>SUM(I11:I12)</f>
        <v>530</v>
      </c>
      <c r="J13" s="16">
        <f>SUM(J11:J12)</f>
        <v>557</v>
      </c>
      <c r="K13" s="16">
        <f>SUM(K11:K12)</f>
        <v>594</v>
      </c>
      <c r="L13" s="17"/>
    </row>
    <row r="14" spans="2:12" x14ac:dyDescent="0.3">
      <c r="B14" t="s">
        <v>17</v>
      </c>
      <c r="G14" s="18">
        <f>-ROUND(G13*G147,0)</f>
        <v>-125</v>
      </c>
      <c r="H14" s="18">
        <f>-ROUND(H13*H147,0)</f>
        <v>-130</v>
      </c>
      <c r="I14" s="18">
        <f>-ROUND(I13*I147,0)</f>
        <v>-134</v>
      </c>
      <c r="J14" s="18">
        <f>-ROUND(J13*J147,0)</f>
        <v>-130</v>
      </c>
      <c r="K14" s="18">
        <f>-ROUND(K13*K147,0)</f>
        <v>-131</v>
      </c>
    </row>
    <row r="15" spans="2:12" s="22" customFormat="1" ht="18.3" customHeight="1" x14ac:dyDescent="0.3">
      <c r="B15" s="19" t="s">
        <v>18</v>
      </c>
      <c r="C15" s="20"/>
      <c r="D15" s="20"/>
      <c r="E15" s="20"/>
      <c r="F15" s="20"/>
      <c r="G15" s="21">
        <f>SUM(G13:G14)</f>
        <v>330</v>
      </c>
      <c r="H15" s="21">
        <f>SUM(H13:H14)</f>
        <v>353</v>
      </c>
      <c r="I15" s="21">
        <f>SUM(I13:I14)</f>
        <v>396</v>
      </c>
      <c r="J15" s="21">
        <f>SUM(J13:J14)</f>
        <v>427</v>
      </c>
      <c r="K15" s="21">
        <f>SUM(K13:K14)</f>
        <v>463</v>
      </c>
    </row>
    <row r="16" spans="2:12" x14ac:dyDescent="0.3">
      <c r="B16" s="23" t="s">
        <v>19</v>
      </c>
      <c r="G16" s="12">
        <f>-84-10</f>
        <v>-94</v>
      </c>
      <c r="H16" s="12">
        <f>-100-11</f>
        <v>-111</v>
      </c>
      <c r="I16" s="12">
        <f>-113-13</f>
        <v>-126</v>
      </c>
      <c r="J16" s="12">
        <f>-131-22</f>
        <v>-153</v>
      </c>
      <c r="K16" s="12">
        <f>-154-30</f>
        <v>-184</v>
      </c>
    </row>
    <row r="17" spans="2:12" x14ac:dyDescent="0.3">
      <c r="B17" t="s">
        <v>20</v>
      </c>
      <c r="G17" s="16">
        <f>SUM(G15:G16)</f>
        <v>236</v>
      </c>
      <c r="H17" s="16">
        <f t="shared" ref="H17:K17" si="1">SUM(H15:H16)</f>
        <v>242</v>
      </c>
      <c r="I17" s="16">
        <f t="shared" si="1"/>
        <v>270</v>
      </c>
      <c r="J17" s="16">
        <f t="shared" si="1"/>
        <v>274</v>
      </c>
      <c r="K17" s="16">
        <f t="shared" si="1"/>
        <v>279</v>
      </c>
    </row>
    <row r="18" spans="2:12" ht="14" thickBot="1" x14ac:dyDescent="0.35"/>
    <row r="19" spans="2:12" x14ac:dyDescent="0.3"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2:12" ht="18.3" x14ac:dyDescent="0.4">
      <c r="B20" s="25" t="s">
        <v>21</v>
      </c>
    </row>
    <row r="21" spans="2:12" x14ac:dyDescent="0.3">
      <c r="B21" t="s">
        <v>22</v>
      </c>
    </row>
    <row r="22" spans="2:12" x14ac:dyDescent="0.3">
      <c r="C22" t="s">
        <v>23</v>
      </c>
      <c r="F22" s="11">
        <v>2019</v>
      </c>
      <c r="G22" s="11">
        <v>2150</v>
      </c>
      <c r="H22" s="11">
        <v>2783</v>
      </c>
      <c r="I22" s="11">
        <v>3643</v>
      </c>
      <c r="J22" s="11">
        <v>4445</v>
      </c>
      <c r="K22" s="11">
        <v>5326</v>
      </c>
    </row>
    <row r="23" spans="2:12" x14ac:dyDescent="0.3">
      <c r="C23" t="s">
        <v>24</v>
      </c>
      <c r="F23" s="11"/>
      <c r="G23" s="11"/>
      <c r="H23" s="11"/>
      <c r="I23" s="11"/>
      <c r="J23" s="11"/>
      <c r="K23" s="11"/>
    </row>
    <row r="24" spans="2:12" x14ac:dyDescent="0.3">
      <c r="D24" t="s">
        <v>25</v>
      </c>
      <c r="F24" s="11"/>
      <c r="G24" s="11"/>
      <c r="H24" s="11"/>
      <c r="I24" s="11"/>
      <c r="J24" s="11"/>
      <c r="K24" s="11"/>
    </row>
    <row r="25" spans="2:12" x14ac:dyDescent="0.3">
      <c r="E25" t="s">
        <v>26</v>
      </c>
      <c r="F25" s="11">
        <v>122</v>
      </c>
      <c r="G25" s="11">
        <v>181</v>
      </c>
      <c r="H25" s="11">
        <v>216</v>
      </c>
      <c r="I25" s="11">
        <v>259</v>
      </c>
      <c r="J25" s="11">
        <v>287</v>
      </c>
      <c r="K25" s="12">
        <f>362-10</f>
        <v>352</v>
      </c>
    </row>
    <row r="26" spans="2:12" x14ac:dyDescent="0.3">
      <c r="E26" t="s">
        <v>27</v>
      </c>
      <c r="F26" s="11">
        <v>5</v>
      </c>
      <c r="G26" s="11">
        <v>7</v>
      </c>
      <c r="H26" s="11">
        <v>6</v>
      </c>
      <c r="I26" s="11">
        <v>9</v>
      </c>
      <c r="J26" s="11">
        <v>12</v>
      </c>
      <c r="K26" s="11">
        <v>17</v>
      </c>
    </row>
    <row r="27" spans="2:12" x14ac:dyDescent="0.3">
      <c r="E27" t="s">
        <v>28</v>
      </c>
      <c r="F27" s="11">
        <v>276</v>
      </c>
      <c r="G27" s="11">
        <v>310</v>
      </c>
      <c r="H27" s="11">
        <v>384</v>
      </c>
      <c r="I27" s="11">
        <v>513</v>
      </c>
      <c r="J27" s="11">
        <v>654</v>
      </c>
      <c r="K27" s="11">
        <v>862</v>
      </c>
    </row>
    <row r="28" spans="2:12" x14ac:dyDescent="0.3">
      <c r="E28" t="s">
        <v>29</v>
      </c>
      <c r="F28" s="26">
        <f t="shared" ref="F28:K28" si="2">SUM(F25:F27)</f>
        <v>403</v>
      </c>
      <c r="G28" s="26">
        <f t="shared" si="2"/>
        <v>498</v>
      </c>
      <c r="H28" s="26">
        <f t="shared" si="2"/>
        <v>606</v>
      </c>
      <c r="I28" s="26">
        <f t="shared" si="2"/>
        <v>781</v>
      </c>
      <c r="J28" s="26">
        <f t="shared" si="2"/>
        <v>953</v>
      </c>
      <c r="K28" s="26">
        <f t="shared" si="2"/>
        <v>1231</v>
      </c>
    </row>
    <row r="29" spans="2:12" x14ac:dyDescent="0.3">
      <c r="D29" t="s">
        <v>30</v>
      </c>
      <c r="F29" s="12">
        <v>562</v>
      </c>
      <c r="G29" s="18">
        <f>ROUND(G6/365*G126*1.2,0)</f>
        <v>690</v>
      </c>
      <c r="H29" s="18">
        <f>ROUND(H6/365*H126*1.2,0)</f>
        <v>834</v>
      </c>
      <c r="I29" s="18">
        <f>ROUND(I6/365*I126*1.2,0)</f>
        <v>1093</v>
      </c>
      <c r="J29" s="18">
        <f>ROUND(J6/365*J126*1.2,0)</f>
        <v>1502</v>
      </c>
      <c r="K29" s="18">
        <f>ROUND(K6/365*K126*1.2,0)</f>
        <v>2125</v>
      </c>
      <c r="L29" s="18"/>
    </row>
    <row r="30" spans="2:12" x14ac:dyDescent="0.3">
      <c r="D30" t="s">
        <v>31</v>
      </c>
      <c r="F30" s="11">
        <v>55</v>
      </c>
      <c r="G30" s="12">
        <v>68</v>
      </c>
      <c r="H30" s="12">
        <v>70</v>
      </c>
      <c r="I30" s="12">
        <v>80</v>
      </c>
      <c r="J30" s="12">
        <f>104-10</f>
        <v>94</v>
      </c>
      <c r="K30" s="12">
        <f>124-10</f>
        <v>114</v>
      </c>
    </row>
    <row r="31" spans="2:12" x14ac:dyDescent="0.3">
      <c r="D31" t="s">
        <v>32</v>
      </c>
      <c r="F31" s="11">
        <v>-486</v>
      </c>
      <c r="G31" s="12">
        <v>-538</v>
      </c>
      <c r="H31" s="12">
        <v>-578</v>
      </c>
      <c r="I31" s="12">
        <v>-644</v>
      </c>
      <c r="J31" s="12">
        <f>-701-20</f>
        <v>-721</v>
      </c>
      <c r="K31" s="12">
        <f>-850-13</f>
        <v>-863</v>
      </c>
    </row>
    <row r="32" spans="2:12" x14ac:dyDescent="0.3">
      <c r="D32" t="s">
        <v>33</v>
      </c>
      <c r="F32" s="11">
        <v>-127</v>
      </c>
      <c r="G32" s="12">
        <v>-140</v>
      </c>
      <c r="H32" s="12">
        <v>-185</v>
      </c>
      <c r="I32" s="12">
        <v>-200</v>
      </c>
      <c r="J32" s="12">
        <v>-218</v>
      </c>
      <c r="K32" s="12">
        <f>-273-10</f>
        <v>-283</v>
      </c>
    </row>
    <row r="33" spans="2:12" x14ac:dyDescent="0.3">
      <c r="D33" s="23" t="s">
        <v>34</v>
      </c>
      <c r="F33" s="13">
        <f t="shared" ref="F33:K33" si="3">SUM(F28:F32)</f>
        <v>407</v>
      </c>
      <c r="G33" s="16">
        <f t="shared" si="3"/>
        <v>578</v>
      </c>
      <c r="H33" s="16">
        <f t="shared" si="3"/>
        <v>747</v>
      </c>
      <c r="I33" s="16">
        <f t="shared" si="3"/>
        <v>1110</v>
      </c>
      <c r="J33" s="16">
        <f t="shared" si="3"/>
        <v>1610</v>
      </c>
      <c r="K33" s="16">
        <f t="shared" si="3"/>
        <v>2324</v>
      </c>
    </row>
    <row r="34" spans="2:12" x14ac:dyDescent="0.3">
      <c r="C34" t="s">
        <v>35</v>
      </c>
      <c r="F34" s="13">
        <f t="shared" ref="F34:K34" si="4">F33+F22</f>
        <v>2426</v>
      </c>
      <c r="G34" s="13">
        <f t="shared" si="4"/>
        <v>2728</v>
      </c>
      <c r="H34" s="13">
        <f t="shared" si="4"/>
        <v>3530</v>
      </c>
      <c r="I34" s="13">
        <f t="shared" si="4"/>
        <v>4753</v>
      </c>
      <c r="J34" s="13">
        <f t="shared" si="4"/>
        <v>6055</v>
      </c>
      <c r="K34" s="13">
        <f t="shared" si="4"/>
        <v>7650</v>
      </c>
    </row>
    <row r="36" spans="2:12" x14ac:dyDescent="0.3">
      <c r="B36" t="s">
        <v>36</v>
      </c>
    </row>
    <row r="37" spans="2:12" x14ac:dyDescent="0.3">
      <c r="C37" t="s">
        <v>37</v>
      </c>
      <c r="F37" s="12">
        <v>12</v>
      </c>
      <c r="G37" s="12">
        <v>22</v>
      </c>
      <c r="H37" s="12">
        <v>16</v>
      </c>
      <c r="I37" s="12">
        <v>25</v>
      </c>
      <c r="J37" s="12">
        <v>17</v>
      </c>
      <c r="K37" s="12">
        <v>12</v>
      </c>
    </row>
    <row r="38" spans="2:12" x14ac:dyDescent="0.3">
      <c r="C38" t="s">
        <v>38</v>
      </c>
      <c r="F38" s="27">
        <v>-411</v>
      </c>
      <c r="G38" s="27">
        <f>-286-7</f>
        <v>-293</v>
      </c>
      <c r="H38" s="27">
        <f>-341-1</f>
        <v>-342</v>
      </c>
      <c r="I38" s="27">
        <f>-604+33-2-26-2+1</f>
        <v>-600</v>
      </c>
      <c r="J38" s="27">
        <f>-624+3+106+4-96-4-2-6-1+1+1-3</f>
        <v>-621</v>
      </c>
      <c r="K38" s="27">
        <f>-938+3+6+216+8-193-7-6-2-10-7+5+2-6-4</f>
        <v>-933</v>
      </c>
      <c r="L38" s="28"/>
    </row>
    <row r="39" spans="2:12" x14ac:dyDescent="0.3">
      <c r="C39" s="23" t="s">
        <v>39</v>
      </c>
      <c r="F39" s="18">
        <f t="shared" ref="F39:J40" si="5">F185</f>
        <v>0</v>
      </c>
      <c r="G39" s="18">
        <f t="shared" si="5"/>
        <v>-100</v>
      </c>
      <c r="H39" s="18">
        <f t="shared" si="5"/>
        <v>-100</v>
      </c>
      <c r="I39" s="18">
        <f t="shared" si="5"/>
        <v>-250</v>
      </c>
      <c r="J39" s="18">
        <f t="shared" si="5"/>
        <v>-350</v>
      </c>
      <c r="K39" s="18">
        <f>K185</f>
        <v>-525</v>
      </c>
      <c r="L39" s="29"/>
    </row>
    <row r="40" spans="2:12" x14ac:dyDescent="0.3">
      <c r="C40" s="23" t="s">
        <v>40</v>
      </c>
      <c r="F40" s="18">
        <f t="shared" si="5"/>
        <v>-350</v>
      </c>
      <c r="G40" s="18">
        <f t="shared" si="5"/>
        <v>-450</v>
      </c>
      <c r="H40" s="18">
        <f t="shared" si="5"/>
        <v>-950</v>
      </c>
      <c r="I40" s="18">
        <f t="shared" si="5"/>
        <v>-1200</v>
      </c>
      <c r="J40" s="18">
        <f t="shared" si="5"/>
        <v>-1650</v>
      </c>
      <c r="K40" s="18">
        <f>K186</f>
        <v>-2625</v>
      </c>
      <c r="L40" s="29"/>
    </row>
    <row r="41" spans="2:12" x14ac:dyDescent="0.3">
      <c r="C41" s="23" t="s">
        <v>41</v>
      </c>
      <c r="F41" s="18">
        <f t="shared" ref="F41:J42" si="6">F176</f>
        <v>0</v>
      </c>
      <c r="G41" s="18">
        <f t="shared" si="6"/>
        <v>0</v>
      </c>
      <c r="H41" s="18">
        <f t="shared" si="6"/>
        <v>0</v>
      </c>
      <c r="I41" s="18">
        <f t="shared" si="6"/>
        <v>-109</v>
      </c>
      <c r="J41" s="18">
        <f t="shared" si="6"/>
        <v>-152</v>
      </c>
      <c r="K41" s="18">
        <f>K176</f>
        <v>-171</v>
      </c>
      <c r="L41" s="29"/>
    </row>
    <row r="42" spans="2:12" x14ac:dyDescent="0.3">
      <c r="C42" s="23" t="s">
        <v>42</v>
      </c>
      <c r="F42" s="18">
        <f t="shared" si="6"/>
        <v>0</v>
      </c>
      <c r="G42" s="18">
        <f t="shared" si="6"/>
        <v>0</v>
      </c>
      <c r="H42" s="18">
        <f t="shared" si="6"/>
        <v>0</v>
      </c>
      <c r="I42" s="18">
        <f t="shared" si="6"/>
        <v>-191</v>
      </c>
      <c r="J42" s="18">
        <f t="shared" si="6"/>
        <v>-601</v>
      </c>
      <c r="K42" s="18">
        <f>K177</f>
        <v>-430</v>
      </c>
      <c r="L42" s="29"/>
    </row>
    <row r="43" spans="2:12" x14ac:dyDescent="0.3">
      <c r="C43" t="s">
        <v>43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29"/>
    </row>
    <row r="44" spans="2:12" x14ac:dyDescent="0.3">
      <c r="C44" t="s">
        <v>17</v>
      </c>
      <c r="F44" s="12">
        <v>-131</v>
      </c>
      <c r="G44" s="18">
        <f>G14</f>
        <v>-125</v>
      </c>
      <c r="H44" s="18">
        <f>H14</f>
        <v>-130</v>
      </c>
      <c r="I44" s="18">
        <f>I14</f>
        <v>-134</v>
      </c>
      <c r="J44" s="18">
        <f>J14</f>
        <v>-130</v>
      </c>
      <c r="K44" s="18">
        <f>K14</f>
        <v>-131</v>
      </c>
      <c r="L44" s="29"/>
    </row>
    <row r="45" spans="2:12" x14ac:dyDescent="0.3">
      <c r="C45" t="s">
        <v>29</v>
      </c>
      <c r="F45" s="13">
        <f t="shared" ref="F45:K45" si="7">SUM(F37:F44)</f>
        <v>-880</v>
      </c>
      <c r="G45" s="13">
        <f t="shared" si="7"/>
        <v>-946</v>
      </c>
      <c r="H45" s="13">
        <f t="shared" si="7"/>
        <v>-1506</v>
      </c>
      <c r="I45" s="13">
        <f t="shared" si="7"/>
        <v>-2459</v>
      </c>
      <c r="J45" s="13">
        <f t="shared" si="7"/>
        <v>-3487</v>
      </c>
      <c r="K45" s="13">
        <f t="shared" si="7"/>
        <v>-4803</v>
      </c>
    </row>
    <row r="46" spans="2:12" x14ac:dyDescent="0.3">
      <c r="F46" s="30"/>
      <c r="G46" s="30"/>
      <c r="H46" s="30"/>
      <c r="I46" s="30"/>
      <c r="J46" s="30"/>
      <c r="K46" s="30"/>
    </row>
    <row r="47" spans="2:12" x14ac:dyDescent="0.3">
      <c r="B47" t="s">
        <v>44</v>
      </c>
      <c r="F47" s="30">
        <f t="shared" ref="F47:K47" si="8">F34+F45</f>
        <v>1546</v>
      </c>
      <c r="G47" s="30">
        <f t="shared" si="8"/>
        <v>1782</v>
      </c>
      <c r="H47" s="30">
        <f t="shared" si="8"/>
        <v>2024</v>
      </c>
      <c r="I47" s="30">
        <f t="shared" si="8"/>
        <v>2294</v>
      </c>
      <c r="J47" s="30">
        <f t="shared" si="8"/>
        <v>2568</v>
      </c>
      <c r="K47" s="30">
        <f t="shared" si="8"/>
        <v>2847</v>
      </c>
    </row>
    <row r="48" spans="2:12" x14ac:dyDescent="0.3">
      <c r="F48" s="30"/>
      <c r="G48" s="30"/>
      <c r="H48" s="30"/>
      <c r="I48" s="30"/>
      <c r="J48" s="30"/>
      <c r="K48" s="30"/>
    </row>
    <row r="49" spans="2:12" x14ac:dyDescent="0.3">
      <c r="B49" t="s">
        <v>45</v>
      </c>
    </row>
    <row r="50" spans="2:12" x14ac:dyDescent="0.3">
      <c r="C50" t="s">
        <v>46</v>
      </c>
      <c r="F50" s="11">
        <v>325</v>
      </c>
      <c r="G50" s="11">
        <v>325</v>
      </c>
      <c r="H50" s="11">
        <v>325</v>
      </c>
      <c r="I50" s="11">
        <v>325</v>
      </c>
      <c r="J50" s="11">
        <v>325</v>
      </c>
      <c r="K50" s="11">
        <v>325</v>
      </c>
    </row>
    <row r="51" spans="2:12" x14ac:dyDescent="0.3">
      <c r="C51" t="s">
        <v>47</v>
      </c>
      <c r="F51" s="11">
        <v>1221</v>
      </c>
      <c r="G51" s="18">
        <f>F51+G17</f>
        <v>1457</v>
      </c>
      <c r="H51" s="18">
        <f>G51+H17</f>
        <v>1699</v>
      </c>
      <c r="I51" s="18">
        <f>H51+I17</f>
        <v>1969</v>
      </c>
      <c r="J51" s="18">
        <f>I51+J17</f>
        <v>2243</v>
      </c>
      <c r="K51" s="18">
        <f>J51+K17</f>
        <v>2522</v>
      </c>
    </row>
    <row r="52" spans="2:12" x14ac:dyDescent="0.3">
      <c r="C52" t="s">
        <v>29</v>
      </c>
      <c r="F52" s="13">
        <f t="shared" ref="F52:K52" si="9">SUM(F50:F51)</f>
        <v>1546</v>
      </c>
      <c r="G52" s="13">
        <f t="shared" si="9"/>
        <v>1782</v>
      </c>
      <c r="H52" s="13">
        <f t="shared" si="9"/>
        <v>2024</v>
      </c>
      <c r="I52" s="13">
        <f t="shared" si="9"/>
        <v>2294</v>
      </c>
      <c r="J52" s="13">
        <f t="shared" si="9"/>
        <v>2568</v>
      </c>
      <c r="K52" s="13">
        <f t="shared" si="9"/>
        <v>2847</v>
      </c>
      <c r="L52" s="17"/>
    </row>
    <row r="53" spans="2:12" x14ac:dyDescent="0.3">
      <c r="F53" s="30"/>
      <c r="G53" s="30"/>
      <c r="H53" s="30"/>
      <c r="I53" s="30"/>
      <c r="J53" s="30"/>
      <c r="K53" s="30"/>
    </row>
    <row r="54" spans="2:12" x14ac:dyDescent="0.3">
      <c r="B54" t="s">
        <v>48</v>
      </c>
      <c r="F54" s="31">
        <v>1000000</v>
      </c>
      <c r="G54" s="31">
        <v>1000000</v>
      </c>
      <c r="H54" s="31">
        <v>1000000</v>
      </c>
      <c r="I54" s="31">
        <v>1000000</v>
      </c>
      <c r="J54" s="31">
        <v>1000000</v>
      </c>
      <c r="K54" s="31">
        <v>1000000</v>
      </c>
    </row>
    <row r="55" spans="2:12" x14ac:dyDescent="0.3">
      <c r="F55" s="30"/>
      <c r="G55" s="30"/>
      <c r="H55" s="30"/>
      <c r="I55" s="30"/>
      <c r="J55" s="30"/>
      <c r="K55" s="30"/>
    </row>
    <row r="56" spans="2:12" x14ac:dyDescent="0.3">
      <c r="B56" s="23" t="s">
        <v>49</v>
      </c>
      <c r="F56" s="32">
        <f t="shared" ref="F56:K56" si="10">F52-F47</f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</row>
    <row r="57" spans="2:12" x14ac:dyDescent="0.3">
      <c r="B57" s="23" t="s">
        <v>50</v>
      </c>
      <c r="F57" s="33" t="s">
        <v>51</v>
      </c>
      <c r="G57" s="34">
        <f>G51-F51-G17</f>
        <v>0</v>
      </c>
      <c r="H57" s="34">
        <f>H51-G51-H17</f>
        <v>0</v>
      </c>
      <c r="I57" s="34">
        <f>I51-H51-I17</f>
        <v>0</v>
      </c>
      <c r="J57" s="34">
        <f>J51-I51-J17</f>
        <v>0</v>
      </c>
      <c r="K57" s="34">
        <f>K51-J51-K17</f>
        <v>0</v>
      </c>
    </row>
    <row r="58" spans="2:12" ht="14" thickBot="1" x14ac:dyDescent="0.35">
      <c r="G58" s="35"/>
      <c r="H58" s="36"/>
      <c r="I58" s="36"/>
      <c r="J58" s="36"/>
      <c r="K58" s="36"/>
    </row>
    <row r="59" spans="2:12" x14ac:dyDescent="0.3">
      <c r="B59" s="24"/>
      <c r="C59" s="24"/>
      <c r="D59" s="24"/>
      <c r="E59" s="24"/>
      <c r="F59" s="24"/>
      <c r="G59" s="24"/>
      <c r="H59" s="24"/>
      <c r="I59" s="24"/>
      <c r="J59" s="24"/>
      <c r="K59" s="24"/>
    </row>
    <row r="60" spans="2:12" ht="18.3" x14ac:dyDescent="0.4">
      <c r="B60" s="7" t="s">
        <v>52</v>
      </c>
    </row>
    <row r="61" spans="2:12" x14ac:dyDescent="0.3">
      <c r="B61" t="s">
        <v>53</v>
      </c>
    </row>
    <row r="62" spans="2:12" x14ac:dyDescent="0.3">
      <c r="C62" t="s">
        <v>14</v>
      </c>
      <c r="F62" s="37"/>
      <c r="G62" s="37">
        <f>G11</f>
        <v>547</v>
      </c>
      <c r="H62" s="37">
        <f>H11</f>
        <v>601</v>
      </c>
      <c r="I62" s="37">
        <f>I11</f>
        <v>731</v>
      </c>
      <c r="J62" s="37">
        <f>J11</f>
        <v>818</v>
      </c>
      <c r="K62" s="37">
        <f>K11</f>
        <v>919</v>
      </c>
    </row>
    <row r="63" spans="2:12" x14ac:dyDescent="0.3">
      <c r="C63" t="s">
        <v>54</v>
      </c>
      <c r="F63" s="38"/>
      <c r="G63" s="37">
        <f>F22-G22-G76-G64</f>
        <v>205</v>
      </c>
      <c r="H63" s="37">
        <f>G22-H22-H76-H64</f>
        <v>224</v>
      </c>
      <c r="I63" s="37">
        <f>H22-I22-I76-I64</f>
        <v>301</v>
      </c>
      <c r="J63" s="37">
        <f>I22-J22-J76-J64</f>
        <v>402.29999999999995</v>
      </c>
      <c r="K63" s="37">
        <f>J22-K22-K76-K64</f>
        <v>495</v>
      </c>
    </row>
    <row r="64" spans="2:12" x14ac:dyDescent="0.3">
      <c r="C64" t="s">
        <v>55</v>
      </c>
      <c r="F64" s="38"/>
      <c r="G64" s="11">
        <v>0</v>
      </c>
      <c r="H64" s="11">
        <v>0</v>
      </c>
      <c r="I64" s="11">
        <v>0</v>
      </c>
      <c r="J64" s="11">
        <v>0</v>
      </c>
      <c r="K64" s="11">
        <v>-8</v>
      </c>
    </row>
    <row r="65" spans="2:12" x14ac:dyDescent="0.3">
      <c r="C65" t="s">
        <v>56</v>
      </c>
      <c r="F65" s="39"/>
      <c r="G65" s="37">
        <f>F28-G28</f>
        <v>-95</v>
      </c>
      <c r="H65" s="37">
        <f>G28-H28</f>
        <v>-108</v>
      </c>
      <c r="I65" s="37">
        <f>H28-I28</f>
        <v>-175</v>
      </c>
      <c r="J65" s="37">
        <f>I28-J28</f>
        <v>-172</v>
      </c>
      <c r="K65" s="37">
        <f>J28-K28</f>
        <v>-278</v>
      </c>
    </row>
    <row r="66" spans="2:12" x14ac:dyDescent="0.3">
      <c r="C66" t="s">
        <v>57</v>
      </c>
      <c r="F66" s="39"/>
      <c r="G66" s="37">
        <f>F29+F30-G29-G30</f>
        <v>-141</v>
      </c>
      <c r="H66" s="37">
        <f>G29+G30-H29-H30</f>
        <v>-146</v>
      </c>
      <c r="I66" s="37">
        <f>H29+H30-I29-I30</f>
        <v>-269</v>
      </c>
      <c r="J66" s="37">
        <f>I29+I30-J29-J30</f>
        <v>-423</v>
      </c>
      <c r="K66" s="37">
        <f>J29+J30-K29-K30</f>
        <v>-643</v>
      </c>
    </row>
    <row r="67" spans="2:12" x14ac:dyDescent="0.3">
      <c r="C67" t="s">
        <v>58</v>
      </c>
      <c r="F67" s="39"/>
      <c r="G67" s="37">
        <f>F31+F32-G31-G32</f>
        <v>65</v>
      </c>
      <c r="H67" s="37">
        <f>G31+G32-H31-H32</f>
        <v>85</v>
      </c>
      <c r="I67" s="37">
        <f>H31+H32-I31-I32</f>
        <v>81</v>
      </c>
      <c r="J67" s="37">
        <f>I31+I32-J31-J32</f>
        <v>95</v>
      </c>
      <c r="K67" s="37">
        <f>J31+J32-K31-K32</f>
        <v>207</v>
      </c>
    </row>
    <row r="68" spans="2:12" x14ac:dyDescent="0.3">
      <c r="C68" t="s">
        <v>29</v>
      </c>
      <c r="G68" s="26">
        <f>SUM(G62:G67)</f>
        <v>581</v>
      </c>
      <c r="H68" s="26">
        <f>SUM(H62:H67)</f>
        <v>656</v>
      </c>
      <c r="I68" s="26">
        <f>SUM(I62:I67)</f>
        <v>669</v>
      </c>
      <c r="J68" s="26">
        <f>SUM(J62:J67)</f>
        <v>720.3</v>
      </c>
      <c r="K68" s="26">
        <f>SUM(K62:K67)</f>
        <v>692</v>
      </c>
    </row>
    <row r="69" spans="2:12" x14ac:dyDescent="0.3">
      <c r="B69" t="s">
        <v>59</v>
      </c>
    </row>
    <row r="70" spans="2:12" x14ac:dyDescent="0.3">
      <c r="C70" t="s">
        <v>60</v>
      </c>
      <c r="G70" s="39">
        <f>G12</f>
        <v>-92</v>
      </c>
      <c r="H70" s="39">
        <f>H12</f>
        <v>-118</v>
      </c>
      <c r="I70" s="39">
        <f>I12</f>
        <v>-201</v>
      </c>
      <c r="J70" s="39">
        <f>J12</f>
        <v>-261</v>
      </c>
      <c r="K70" s="39">
        <f>K12</f>
        <v>-325</v>
      </c>
    </row>
    <row r="71" spans="2:12" x14ac:dyDescent="0.3">
      <c r="C71" t="s">
        <v>61</v>
      </c>
      <c r="G71" s="39">
        <f>G16</f>
        <v>-94</v>
      </c>
      <c r="H71" s="39">
        <f>H16</f>
        <v>-111</v>
      </c>
      <c r="I71" s="39">
        <f>I16</f>
        <v>-126</v>
      </c>
      <c r="J71" s="39">
        <f>J16</f>
        <v>-153</v>
      </c>
      <c r="K71" s="39">
        <f>K16</f>
        <v>-184</v>
      </c>
    </row>
    <row r="72" spans="2:12" x14ac:dyDescent="0.3">
      <c r="C72" t="s">
        <v>29</v>
      </c>
      <c r="G72" s="13">
        <f>SUM(G70:G71)</f>
        <v>-186</v>
      </c>
      <c r="H72" s="13">
        <f>SUM(H70:H71)</f>
        <v>-229</v>
      </c>
      <c r="I72" s="13">
        <f>SUM(I70:I71)</f>
        <v>-327</v>
      </c>
      <c r="J72" s="13">
        <f>SUM(J70:J71)</f>
        <v>-414</v>
      </c>
      <c r="K72" s="13">
        <f>SUM(K70:K71)</f>
        <v>-509</v>
      </c>
    </row>
    <row r="73" spans="2:12" x14ac:dyDescent="0.3">
      <c r="B73" t="s">
        <v>62</v>
      </c>
    </row>
    <row r="74" spans="2:12" x14ac:dyDescent="0.3">
      <c r="C74" t="s">
        <v>63</v>
      </c>
      <c r="G74" s="11">
        <v>-336</v>
      </c>
      <c r="H74" s="11">
        <v>-857</v>
      </c>
      <c r="I74" s="11">
        <v>-1161</v>
      </c>
      <c r="J74" s="11">
        <v>-1204.3</v>
      </c>
      <c r="K74" s="11">
        <v>-1391</v>
      </c>
      <c r="L74" s="40"/>
    </row>
    <row r="75" spans="2:12" x14ac:dyDescent="0.3">
      <c r="C75" t="s">
        <v>64</v>
      </c>
      <c r="G75" s="41">
        <v>0</v>
      </c>
      <c r="H75" s="41">
        <v>0</v>
      </c>
      <c r="I75" s="41">
        <v>0</v>
      </c>
      <c r="J75" s="41">
        <v>0</v>
      </c>
      <c r="K75" s="41">
        <v>23</v>
      </c>
    </row>
    <row r="76" spans="2:12" x14ac:dyDescent="0.3">
      <c r="C76" t="s">
        <v>29</v>
      </c>
      <c r="G76" s="13">
        <f>SUM(G74:G75)</f>
        <v>-336</v>
      </c>
      <c r="H76" s="13">
        <f>SUM(H74:H75)</f>
        <v>-857</v>
      </c>
      <c r="I76" s="13">
        <f>SUM(I74:I75)</f>
        <v>-1161</v>
      </c>
      <c r="J76" s="13">
        <f>SUM(J74:J75)</f>
        <v>-1204.3</v>
      </c>
      <c r="K76" s="13">
        <f>SUM(K74:K75)</f>
        <v>-1368</v>
      </c>
    </row>
    <row r="77" spans="2:12" x14ac:dyDescent="0.3">
      <c r="B77" t="s">
        <v>65</v>
      </c>
    </row>
    <row r="78" spans="2:12" x14ac:dyDescent="0.3">
      <c r="C78" t="s">
        <v>66</v>
      </c>
      <c r="G78" s="39">
        <f>G14+F44-G44</f>
        <v>-131</v>
      </c>
      <c r="H78" s="39">
        <f>H14+G44-H44</f>
        <v>-125</v>
      </c>
      <c r="I78" s="39">
        <f>I14+H44-I44</f>
        <v>-130</v>
      </c>
      <c r="J78" s="39">
        <f>J14+I44-J44</f>
        <v>-134</v>
      </c>
      <c r="K78" s="39">
        <f>K14+J44-K44</f>
        <v>-130</v>
      </c>
    </row>
    <row r="79" spans="2:12" x14ac:dyDescent="0.3">
      <c r="C79" t="s">
        <v>29</v>
      </c>
      <c r="G79" s="13">
        <f>SUM(G78)</f>
        <v>-131</v>
      </c>
      <c r="H79" s="13">
        <f>SUM(H78)</f>
        <v>-125</v>
      </c>
      <c r="I79" s="13">
        <f>SUM(I78)</f>
        <v>-130</v>
      </c>
      <c r="J79" s="13">
        <f>SUM(J78)</f>
        <v>-134</v>
      </c>
      <c r="K79" s="13">
        <f>SUM(K78)</f>
        <v>-130</v>
      </c>
    </row>
    <row r="80" spans="2:12" x14ac:dyDescent="0.3">
      <c r="B80" t="s">
        <v>67</v>
      </c>
    </row>
    <row r="81" spans="2:11" x14ac:dyDescent="0.3">
      <c r="C81" s="23" t="s">
        <v>68</v>
      </c>
      <c r="G81" s="39">
        <f t="shared" ref="G81:K82" si="11">-G181</f>
        <v>200</v>
      </c>
      <c r="H81" s="39">
        <f t="shared" si="11"/>
        <v>600</v>
      </c>
      <c r="I81" s="18">
        <f t="shared" si="11"/>
        <v>500</v>
      </c>
      <c r="J81" s="18">
        <f t="shared" si="11"/>
        <v>800</v>
      </c>
      <c r="K81" s="18">
        <f t="shared" si="11"/>
        <v>1500</v>
      </c>
    </row>
    <row r="82" spans="2:11" x14ac:dyDescent="0.3">
      <c r="C82" t="s">
        <v>69</v>
      </c>
      <c r="G82" s="39">
        <f t="shared" si="11"/>
        <v>0</v>
      </c>
      <c r="H82" s="39">
        <f t="shared" si="11"/>
        <v>-100</v>
      </c>
      <c r="I82" s="18">
        <f t="shared" si="11"/>
        <v>-100</v>
      </c>
      <c r="J82" s="18">
        <f t="shared" si="11"/>
        <v>-250</v>
      </c>
      <c r="K82" s="18">
        <f t="shared" si="11"/>
        <v>-350</v>
      </c>
    </row>
    <row r="83" spans="2:11" x14ac:dyDescent="0.3">
      <c r="C83" t="s">
        <v>70</v>
      </c>
      <c r="G83" s="39">
        <f t="shared" ref="G83:K84" si="12">-G170</f>
        <v>0</v>
      </c>
      <c r="H83" s="39">
        <f t="shared" si="12"/>
        <v>0</v>
      </c>
      <c r="I83" s="18">
        <f t="shared" si="12"/>
        <v>345</v>
      </c>
      <c r="J83" s="18">
        <f t="shared" si="12"/>
        <v>562</v>
      </c>
      <c r="K83" s="18">
        <f t="shared" si="12"/>
        <v>0</v>
      </c>
    </row>
    <row r="84" spans="2:11" x14ac:dyDescent="0.3">
      <c r="C84" t="s">
        <v>71</v>
      </c>
      <c r="G84" s="39">
        <f t="shared" si="12"/>
        <v>0</v>
      </c>
      <c r="H84" s="39">
        <f t="shared" si="12"/>
        <v>0</v>
      </c>
      <c r="I84" s="18">
        <f t="shared" si="12"/>
        <v>-45</v>
      </c>
      <c r="J84" s="18">
        <f t="shared" si="12"/>
        <v>-109</v>
      </c>
      <c r="K84" s="18">
        <f t="shared" si="12"/>
        <v>-152</v>
      </c>
    </row>
    <row r="85" spans="2:11" x14ac:dyDescent="0.3">
      <c r="C85" t="s">
        <v>29</v>
      </c>
      <c r="G85" s="13">
        <f>SUM(G81:G84)</f>
        <v>200</v>
      </c>
      <c r="H85" s="13">
        <f t="shared" ref="H85:K85" si="13">SUM(H81:H84)</f>
        <v>500</v>
      </c>
      <c r="I85" s="16">
        <f t="shared" si="13"/>
        <v>700</v>
      </c>
      <c r="J85" s="16">
        <f t="shared" si="13"/>
        <v>1003</v>
      </c>
      <c r="K85" s="16">
        <f t="shared" si="13"/>
        <v>998</v>
      </c>
    </row>
    <row r="86" spans="2:11" x14ac:dyDescent="0.3">
      <c r="I86" s="29"/>
      <c r="J86" s="29"/>
      <c r="K86" s="29"/>
    </row>
    <row r="87" spans="2:11" s="42" customFormat="1" x14ac:dyDescent="0.3">
      <c r="B87" s="42" t="s">
        <v>72</v>
      </c>
      <c r="G87" s="42">
        <f>G68+G72+G76+G79+G85</f>
        <v>128</v>
      </c>
      <c r="H87" s="42">
        <f>H68+H72+H76+H79+H85</f>
        <v>-55</v>
      </c>
      <c r="I87" s="43">
        <f>I68+I72+I76+I79+I85</f>
        <v>-249</v>
      </c>
      <c r="J87" s="43">
        <f>J68+J72+J76+J79+J85</f>
        <v>-29</v>
      </c>
      <c r="K87" s="43">
        <f>K68+K72+K76+K79+K85</f>
        <v>-317</v>
      </c>
    </row>
    <row r="89" spans="2:11" x14ac:dyDescent="0.3"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2:11" x14ac:dyDescent="0.3">
      <c r="B90" t="s">
        <v>73</v>
      </c>
      <c r="G90" s="44">
        <f>G68+G76</f>
        <v>245</v>
      </c>
      <c r="H90" s="44">
        <f>H68+H76</f>
        <v>-201</v>
      </c>
      <c r="I90" s="44">
        <f>I68+I76</f>
        <v>-492</v>
      </c>
      <c r="J90" s="44">
        <f>J68+J76</f>
        <v>-484</v>
      </c>
      <c r="K90" s="44">
        <f>K68+K76</f>
        <v>-676</v>
      </c>
    </row>
    <row r="91" spans="2:11" x14ac:dyDescent="0.3">
      <c r="B91" t="s">
        <v>74</v>
      </c>
      <c r="G91" s="44">
        <f>G68+G76+G79</f>
        <v>114</v>
      </c>
      <c r="H91" s="44">
        <f t="shared" ref="H91:K91" si="14">H68+H76+H79</f>
        <v>-326</v>
      </c>
      <c r="I91" s="44">
        <f t="shared" si="14"/>
        <v>-622</v>
      </c>
      <c r="J91" s="44">
        <f t="shared" si="14"/>
        <v>-618</v>
      </c>
      <c r="K91" s="44">
        <f t="shared" si="14"/>
        <v>-806</v>
      </c>
    </row>
    <row r="92" spans="2:11" x14ac:dyDescent="0.3">
      <c r="B92" t="s">
        <v>75</v>
      </c>
      <c r="G92" s="44">
        <f>G91-G76</f>
        <v>450</v>
      </c>
      <c r="H92" s="44">
        <f t="shared" ref="H92:K92" si="15">H91-H76</f>
        <v>531</v>
      </c>
      <c r="I92" s="44">
        <f t="shared" si="15"/>
        <v>539</v>
      </c>
      <c r="J92" s="44">
        <f t="shared" si="15"/>
        <v>586.29999999999995</v>
      </c>
      <c r="K92" s="44">
        <f t="shared" si="15"/>
        <v>562</v>
      </c>
    </row>
    <row r="93" spans="2:11" ht="14" thickBot="1" x14ac:dyDescent="0.35">
      <c r="G93" s="44"/>
      <c r="H93" s="44"/>
      <c r="I93" s="44"/>
      <c r="J93" s="44"/>
      <c r="K93" s="44"/>
    </row>
    <row r="94" spans="2:11" x14ac:dyDescent="0.3">
      <c r="B94" s="24"/>
      <c r="C94" s="24"/>
      <c r="D94" s="24"/>
      <c r="E94" s="24"/>
      <c r="F94" s="24"/>
      <c r="G94" s="24"/>
      <c r="H94" s="24"/>
      <c r="I94" s="24"/>
      <c r="J94" s="24"/>
      <c r="K94" s="24"/>
    </row>
    <row r="95" spans="2:11" ht="18.3" x14ac:dyDescent="0.4">
      <c r="B95" s="7" t="s">
        <v>76</v>
      </c>
    </row>
    <row r="96" spans="2:11" x14ac:dyDescent="0.3">
      <c r="B96" s="23" t="s">
        <v>77</v>
      </c>
      <c r="G96" s="39">
        <f>G87</f>
        <v>128</v>
      </c>
      <c r="H96" s="39">
        <f>H87</f>
        <v>-55</v>
      </c>
      <c r="I96" s="18">
        <f>I87</f>
        <v>-249</v>
      </c>
      <c r="J96" s="18">
        <f>J87</f>
        <v>-29</v>
      </c>
      <c r="K96" s="18">
        <f>K87</f>
        <v>-317</v>
      </c>
    </row>
    <row r="97" spans="2:11" x14ac:dyDescent="0.3">
      <c r="B97" s="23" t="s">
        <v>78</v>
      </c>
      <c r="G97" s="39">
        <f>-G85</f>
        <v>-200</v>
      </c>
      <c r="H97" s="39">
        <f>-H85</f>
        <v>-500</v>
      </c>
      <c r="I97" s="18">
        <f>-I85</f>
        <v>-700</v>
      </c>
      <c r="J97" s="18">
        <f>-J85</f>
        <v>-1003</v>
      </c>
      <c r="K97" s="18">
        <f>-K85</f>
        <v>-998</v>
      </c>
    </row>
    <row r="98" spans="2:11" x14ac:dyDescent="0.3">
      <c r="B98" t="s">
        <v>79</v>
      </c>
      <c r="G98" s="13">
        <f>SUM(G96:G97)</f>
        <v>-72</v>
      </c>
      <c r="H98" s="13">
        <f>SUM(H96:H97)</f>
        <v>-555</v>
      </c>
      <c r="I98" s="13">
        <f>SUM(I96:I97)</f>
        <v>-949</v>
      </c>
      <c r="J98" s="13">
        <f>SUM(J96:J97)</f>
        <v>-1032</v>
      </c>
      <c r="K98" s="13">
        <f>SUM(K96:K97)</f>
        <v>-1315</v>
      </c>
    </row>
    <row r="99" spans="2:11" x14ac:dyDescent="0.3">
      <c r="B99" t="s">
        <v>80</v>
      </c>
      <c r="G99" s="39">
        <f>F100</f>
        <v>-749</v>
      </c>
      <c r="H99" s="39">
        <f>G100</f>
        <v>-821</v>
      </c>
      <c r="I99" s="39">
        <f>H100</f>
        <v>-1376</v>
      </c>
      <c r="J99" s="39">
        <f>I100</f>
        <v>-2325</v>
      </c>
      <c r="K99" s="39">
        <f>J100</f>
        <v>-3357</v>
      </c>
    </row>
    <row r="100" spans="2:11" x14ac:dyDescent="0.3">
      <c r="B100" t="s">
        <v>81</v>
      </c>
      <c r="F100" s="39">
        <f t="shared" ref="F100:K100" si="16">SUM(F37:F42)</f>
        <v>-749</v>
      </c>
      <c r="G100" s="39">
        <f t="shared" si="16"/>
        <v>-821</v>
      </c>
      <c r="H100" s="39">
        <f t="shared" si="16"/>
        <v>-1376</v>
      </c>
      <c r="I100" s="39">
        <f t="shared" si="16"/>
        <v>-2325</v>
      </c>
      <c r="J100" s="39">
        <f t="shared" si="16"/>
        <v>-3357</v>
      </c>
      <c r="K100" s="39">
        <f t="shared" si="16"/>
        <v>-4672</v>
      </c>
    </row>
    <row r="101" spans="2:11" x14ac:dyDescent="0.3">
      <c r="B101" t="s">
        <v>82</v>
      </c>
      <c r="G101" s="45">
        <f>G100-G99-G98</f>
        <v>0</v>
      </c>
      <c r="H101" s="45">
        <f>H100-H99-H98</f>
        <v>0</v>
      </c>
      <c r="I101" s="45">
        <f>I100-I99-I98</f>
        <v>0</v>
      </c>
      <c r="J101" s="45">
        <f>J100-J99-J98</f>
        <v>0</v>
      </c>
      <c r="K101" s="45">
        <f>K100-K99-K98</f>
        <v>0</v>
      </c>
    </row>
    <row r="102" spans="2:11" ht="14" thickBot="1" x14ac:dyDescent="0.35"/>
    <row r="103" spans="2:11" x14ac:dyDescent="0.3">
      <c r="B103" s="24"/>
      <c r="C103" s="24"/>
      <c r="D103" s="24"/>
      <c r="E103" s="24"/>
      <c r="F103" s="24"/>
      <c r="G103" s="24"/>
      <c r="H103" s="24"/>
      <c r="I103" s="24"/>
      <c r="J103" s="24"/>
      <c r="K103" s="24"/>
    </row>
    <row r="104" spans="2:11" ht="18.3" x14ac:dyDescent="0.4">
      <c r="B104" s="25" t="s">
        <v>83</v>
      </c>
    </row>
    <row r="105" spans="2:11" x14ac:dyDescent="0.3">
      <c r="B105" t="s">
        <v>84</v>
      </c>
      <c r="G105" s="46" t="s">
        <v>51</v>
      </c>
      <c r="H105" s="47">
        <f>H6/G6-1</f>
        <v>0.14944237918215619</v>
      </c>
      <c r="I105" s="47">
        <f>I6/H6-1</f>
        <v>0.19421086675291077</v>
      </c>
      <c r="J105" s="47">
        <f>J6/I6-1</f>
        <v>0.16709546377792828</v>
      </c>
      <c r="K105" s="47">
        <f>K6/J6-1</f>
        <v>0.2097691147464904</v>
      </c>
    </row>
    <row r="106" spans="2:11" x14ac:dyDescent="0.3">
      <c r="B106" t="s">
        <v>85</v>
      </c>
      <c r="G106" s="46" t="s">
        <v>51</v>
      </c>
      <c r="H106" s="47">
        <f>H11/G11-1</f>
        <v>9.8720292504570484E-2</v>
      </c>
      <c r="I106" s="47">
        <f>I11/H11-1</f>
        <v>0.21630615640599005</v>
      </c>
      <c r="J106" s="48">
        <f>J11/I11-1</f>
        <v>0.11901504787961703</v>
      </c>
      <c r="K106" s="47">
        <f>K11/J11-1</f>
        <v>0.12347188264058673</v>
      </c>
    </row>
    <row r="107" spans="2:11" x14ac:dyDescent="0.3">
      <c r="B107" t="s">
        <v>86</v>
      </c>
      <c r="G107" s="46" t="s">
        <v>51</v>
      </c>
      <c r="H107" s="47">
        <f>H13/G13-1</f>
        <v>6.1538461538461542E-2</v>
      </c>
      <c r="I107" s="47">
        <f>I13/H13-1</f>
        <v>9.7308488612836364E-2</v>
      </c>
      <c r="J107" s="47">
        <f>J13/I13-1</f>
        <v>5.0943396226415194E-2</v>
      </c>
      <c r="K107" s="47">
        <f>K13/J13-1</f>
        <v>6.6427289048474059E-2</v>
      </c>
    </row>
    <row r="108" spans="2:11" x14ac:dyDescent="0.3">
      <c r="B108" t="s">
        <v>87</v>
      </c>
      <c r="G108" s="46" t="s">
        <v>51</v>
      </c>
      <c r="H108" s="47">
        <f>H15/G15-1</f>
        <v>6.9696969696969591E-2</v>
      </c>
      <c r="I108" s="47">
        <f>I15/H15-1</f>
        <v>0.12181303116147313</v>
      </c>
      <c r="J108" s="47">
        <f>J15/I15-1</f>
        <v>7.8282828282828287E-2</v>
      </c>
      <c r="K108" s="47">
        <f>K15/J15-1</f>
        <v>8.4309133489461452E-2</v>
      </c>
    </row>
    <row r="109" spans="2:11" x14ac:dyDescent="0.3">
      <c r="B109" s="23" t="s">
        <v>88</v>
      </c>
      <c r="G109" s="49">
        <f>G15*1000/G54*100</f>
        <v>33</v>
      </c>
      <c r="H109" s="49">
        <f>H15*1000/H54*100</f>
        <v>35.299999999999997</v>
      </c>
      <c r="I109" s="49">
        <f>I15*1000/I54*100</f>
        <v>39.6</v>
      </c>
      <c r="J109" s="49">
        <f>J15*1000/J54*100</f>
        <v>42.699999999999996</v>
      </c>
      <c r="K109" s="49">
        <f>K15*1000/K54*100</f>
        <v>46.300000000000004</v>
      </c>
    </row>
    <row r="110" spans="2:11" x14ac:dyDescent="0.3">
      <c r="B110" s="23" t="s">
        <v>89</v>
      </c>
      <c r="F110">
        <f t="shared" ref="F110:K110" si="17">F28+F29+F37+F30+F22</f>
        <v>3051</v>
      </c>
      <c r="G110">
        <f t="shared" si="17"/>
        <v>3428</v>
      </c>
      <c r="H110">
        <f t="shared" si="17"/>
        <v>4309</v>
      </c>
      <c r="I110">
        <f t="shared" si="17"/>
        <v>5622</v>
      </c>
      <c r="J110">
        <f t="shared" si="17"/>
        <v>7011</v>
      </c>
      <c r="K110">
        <f t="shared" si="17"/>
        <v>8808</v>
      </c>
    </row>
    <row r="111" spans="2:11" x14ac:dyDescent="0.3">
      <c r="B111" t="s">
        <v>90</v>
      </c>
      <c r="F111">
        <f t="shared" ref="F111:K111" si="18">F28+F29+F37+F30</f>
        <v>1032</v>
      </c>
      <c r="G111">
        <f t="shared" si="18"/>
        <v>1278</v>
      </c>
      <c r="H111">
        <f t="shared" si="18"/>
        <v>1526</v>
      </c>
      <c r="I111">
        <f t="shared" si="18"/>
        <v>1979</v>
      </c>
      <c r="J111">
        <f t="shared" si="18"/>
        <v>2566</v>
      </c>
      <c r="K111">
        <f t="shared" si="18"/>
        <v>3482</v>
      </c>
    </row>
    <row r="112" spans="2:11" x14ac:dyDescent="0.3">
      <c r="B112" s="23" t="s">
        <v>91</v>
      </c>
      <c r="F112">
        <f t="shared" ref="F112:K112" si="19">SUM(F38:F44,F31:F32)</f>
        <v>-1505</v>
      </c>
      <c r="G112">
        <f t="shared" si="19"/>
        <v>-1646</v>
      </c>
      <c r="H112">
        <f t="shared" si="19"/>
        <v>-2285</v>
      </c>
      <c r="I112">
        <f t="shared" si="19"/>
        <v>-3328</v>
      </c>
      <c r="J112">
        <f t="shared" si="19"/>
        <v>-4443</v>
      </c>
      <c r="K112">
        <f t="shared" si="19"/>
        <v>-5961</v>
      </c>
    </row>
    <row r="113" spans="2:12" x14ac:dyDescent="0.3">
      <c r="B113" t="s">
        <v>92</v>
      </c>
      <c r="F113">
        <f t="shared" ref="F113:K113" si="20">SUM(F31:F32,F38,F39,F41,F43,F44)</f>
        <v>-1155</v>
      </c>
      <c r="G113">
        <f t="shared" si="20"/>
        <v>-1196</v>
      </c>
      <c r="H113">
        <f t="shared" si="20"/>
        <v>-1335</v>
      </c>
      <c r="I113" s="29">
        <f t="shared" si="20"/>
        <v>-1937</v>
      </c>
      <c r="J113" s="29">
        <f t="shared" si="20"/>
        <v>-2192</v>
      </c>
      <c r="K113" s="29">
        <f t="shared" si="20"/>
        <v>-2906</v>
      </c>
    </row>
    <row r="114" spans="2:12" x14ac:dyDescent="0.3">
      <c r="B114" s="23" t="s">
        <v>93</v>
      </c>
      <c r="F114">
        <f t="shared" ref="F114:K114" si="21">F40+F42</f>
        <v>-350</v>
      </c>
      <c r="G114">
        <f t="shared" si="21"/>
        <v>-450</v>
      </c>
      <c r="H114">
        <f t="shared" si="21"/>
        <v>-950</v>
      </c>
      <c r="I114" s="29">
        <f t="shared" si="21"/>
        <v>-1391</v>
      </c>
      <c r="J114" s="29">
        <f t="shared" si="21"/>
        <v>-2251</v>
      </c>
      <c r="K114" s="29">
        <f t="shared" si="21"/>
        <v>-3055</v>
      </c>
    </row>
    <row r="115" spans="2:12" x14ac:dyDescent="0.3">
      <c r="B115" s="42" t="s">
        <v>94</v>
      </c>
      <c r="C115" s="42"/>
      <c r="D115" s="42"/>
      <c r="E115" s="42"/>
      <c r="F115" s="42"/>
      <c r="G115" s="50">
        <f>G11/G34</f>
        <v>0.2005131964809384</v>
      </c>
      <c r="H115" s="50">
        <f>H11/H34</f>
        <v>0.17025495750708217</v>
      </c>
      <c r="I115" s="50">
        <f>I11/I34</f>
        <v>0.15379760151483274</v>
      </c>
      <c r="J115" s="50">
        <f>J11/J34</f>
        <v>0.13509496284062758</v>
      </c>
      <c r="K115" s="50">
        <f>K11/K34</f>
        <v>0.12013071895424837</v>
      </c>
      <c r="L115" s="51"/>
    </row>
    <row r="116" spans="2:12" x14ac:dyDescent="0.3">
      <c r="B116" t="s">
        <v>95</v>
      </c>
      <c r="G116" s="52">
        <f>G6/G34</f>
        <v>1.9721407624633431</v>
      </c>
      <c r="H116" s="52">
        <f>H6/H34</f>
        <v>1.7518413597733711</v>
      </c>
      <c r="I116" s="52">
        <f>I6/I34</f>
        <v>1.5537555228276878</v>
      </c>
      <c r="J116" s="52">
        <f>J6/J34</f>
        <v>1.4234516928158547</v>
      </c>
      <c r="K116" s="52">
        <f>K6/K34</f>
        <v>1.3630065359477124</v>
      </c>
      <c r="L116" s="53"/>
    </row>
    <row r="117" spans="2:12" x14ac:dyDescent="0.3">
      <c r="B117" t="s">
        <v>96</v>
      </c>
      <c r="G117" s="54">
        <f>G11/G6</f>
        <v>0.1016728624535316</v>
      </c>
      <c r="H117" s="54">
        <f>H11/H6</f>
        <v>9.7186287192755502E-2</v>
      </c>
      <c r="I117" s="54">
        <f>I11/I6</f>
        <v>9.89844278943805E-2</v>
      </c>
      <c r="J117" s="54">
        <f>J11/J6</f>
        <v>9.4906601693932016E-2</v>
      </c>
      <c r="K117" s="54">
        <f>K11/K6</f>
        <v>8.813656852402417E-2</v>
      </c>
      <c r="L117" s="55"/>
    </row>
    <row r="118" spans="2:12" x14ac:dyDescent="0.3">
      <c r="B118" t="s">
        <v>97</v>
      </c>
      <c r="G118" s="54">
        <f>-G7/G6</f>
        <v>0.75204460966542752</v>
      </c>
      <c r="H118" s="54">
        <f>-H7/H6</f>
        <v>0.75501293661060798</v>
      </c>
      <c r="I118" s="54">
        <f>-I7/I6</f>
        <v>0.761408259986459</v>
      </c>
      <c r="J118" s="54">
        <f>-J7/J6</f>
        <v>0.76899872374985501</v>
      </c>
      <c r="K118" s="54">
        <f>-K7/K6</f>
        <v>0.77471947827754872</v>
      </c>
    </row>
    <row r="119" spans="2:12" x14ac:dyDescent="0.3">
      <c r="B119" t="s">
        <v>98</v>
      </c>
      <c r="G119" s="54">
        <f>G8/G6</f>
        <v>0.24795539033457248</v>
      </c>
      <c r="H119" s="54">
        <f>H8/H6</f>
        <v>0.24498706338939197</v>
      </c>
      <c r="I119" s="54">
        <f>I8/I6</f>
        <v>0.23859174001354097</v>
      </c>
      <c r="J119" s="54">
        <f>J8/J6</f>
        <v>0.23100127625014502</v>
      </c>
      <c r="K119" s="54">
        <f>K8/K6</f>
        <v>0.22528052172245133</v>
      </c>
    </row>
    <row r="120" spans="2:12" x14ac:dyDescent="0.3">
      <c r="B120" t="s">
        <v>99</v>
      </c>
      <c r="G120" s="54">
        <f>-G8/G7</f>
        <v>0.32970835392980724</v>
      </c>
      <c r="H120" s="54">
        <f>-H8/H7</f>
        <v>0.32448061683443991</v>
      </c>
      <c r="I120" s="54">
        <f>-I8/I7</f>
        <v>0.313355859861284</v>
      </c>
      <c r="J120" s="54">
        <f>-J8/J7</f>
        <v>0.30039227519613759</v>
      </c>
      <c r="K120" s="54">
        <f>-K8/K7</f>
        <v>0.29078979945531069</v>
      </c>
    </row>
    <row r="121" spans="2:12" x14ac:dyDescent="0.3">
      <c r="B121" t="s">
        <v>100</v>
      </c>
      <c r="G121" s="56">
        <f t="shared" ref="G121:K122" si="22">-G9/G$6</f>
        <v>7.9553903345724902E-2</v>
      </c>
      <c r="H121" s="56">
        <f t="shared" si="22"/>
        <v>8.2956015523932725E-2</v>
      </c>
      <c r="I121" s="56">
        <f t="shared" si="22"/>
        <v>8.1245768449559913E-2</v>
      </c>
      <c r="J121" s="56">
        <f t="shared" si="22"/>
        <v>7.808330432764822E-2</v>
      </c>
      <c r="K121" s="56">
        <f t="shared" si="22"/>
        <v>7.9792845497266715E-2</v>
      </c>
    </row>
    <row r="122" spans="2:12" x14ac:dyDescent="0.3">
      <c r="B122" t="s">
        <v>101</v>
      </c>
      <c r="G122" s="56">
        <f t="shared" si="22"/>
        <v>6.6728624535315986E-2</v>
      </c>
      <c r="H122" s="56">
        <f t="shared" si="22"/>
        <v>6.4844760672703755E-2</v>
      </c>
      <c r="I122" s="56">
        <f t="shared" si="22"/>
        <v>5.8361543669600544E-2</v>
      </c>
      <c r="J122" s="56">
        <f t="shared" si="22"/>
        <v>5.8011370228564799E-2</v>
      </c>
      <c r="K122" s="56">
        <f t="shared" si="22"/>
        <v>5.7351107701160448E-2</v>
      </c>
    </row>
    <row r="123" spans="2:12" x14ac:dyDescent="0.3">
      <c r="B123" t="s">
        <v>102</v>
      </c>
      <c r="G123" s="57">
        <f>G6/G22</f>
        <v>2.5023255813953487</v>
      </c>
      <c r="H123" s="57">
        <f>H6/H22</f>
        <v>2.2220625224577795</v>
      </c>
      <c r="I123" s="57">
        <f>I6/I22</f>
        <v>2.0271754048860831</v>
      </c>
      <c r="J123" s="57">
        <f>J6/J22</f>
        <v>1.9390326209223847</v>
      </c>
      <c r="K123" s="57">
        <f>K6/K22</f>
        <v>1.9577544123169357</v>
      </c>
    </row>
    <row r="124" spans="2:12" x14ac:dyDescent="0.3">
      <c r="B124" t="s">
        <v>103</v>
      </c>
      <c r="G124" s="57">
        <f>G6/G33</f>
        <v>9.3079584775086506</v>
      </c>
      <c r="H124" s="57">
        <f>H6/H33</f>
        <v>8.2784471218206157</v>
      </c>
      <c r="I124" s="57">
        <f>I6/I33</f>
        <v>6.6531531531531529</v>
      </c>
      <c r="J124" s="57">
        <f>J6/J33</f>
        <v>5.3534161490683232</v>
      </c>
      <c r="K124" s="57">
        <f>K6/K33</f>
        <v>4.4866609294320137</v>
      </c>
    </row>
    <row r="125" spans="2:12" x14ac:dyDescent="0.3">
      <c r="B125" t="s">
        <v>104</v>
      </c>
      <c r="G125" s="57">
        <f>G6/G29</f>
        <v>7.7971014492753623</v>
      </c>
      <c r="H125" s="57">
        <f>H6/H29</f>
        <v>7.4148681055155876</v>
      </c>
      <c r="I125" s="57">
        <f>I6/I29</f>
        <v>6.756633119853614</v>
      </c>
      <c r="J125" s="57">
        <f>J6/J29</f>
        <v>5.7383488681757653</v>
      </c>
      <c r="K125" s="57">
        <f>K6/K29</f>
        <v>4.9068235294117644</v>
      </c>
    </row>
    <row r="126" spans="2:12" x14ac:dyDescent="0.3">
      <c r="B126" t="s">
        <v>105</v>
      </c>
      <c r="G126" s="58">
        <v>39</v>
      </c>
      <c r="H126" s="58">
        <v>41</v>
      </c>
      <c r="I126" s="58">
        <v>45</v>
      </c>
      <c r="J126" s="58">
        <v>53</v>
      </c>
      <c r="K126" s="58">
        <v>62</v>
      </c>
    </row>
    <row r="127" spans="2:12" x14ac:dyDescent="0.3">
      <c r="B127" s="23" t="s">
        <v>106</v>
      </c>
      <c r="G127" s="59">
        <f>G29/1.2/G6*365</f>
        <v>39.010223048327134</v>
      </c>
      <c r="H127" s="59">
        <f>H29/1.2/H6*365</f>
        <v>41.021183699870633</v>
      </c>
      <c r="I127" s="59">
        <f>I29/1.2/I6*365</f>
        <v>45.017490408485671</v>
      </c>
      <c r="J127" s="59">
        <f>J29/1.2/J6*365</f>
        <v>53.005955834010138</v>
      </c>
      <c r="K127" s="59">
        <f>K29/1.2/K6*365</f>
        <v>61.988507400658548</v>
      </c>
    </row>
    <row r="128" spans="2:12" x14ac:dyDescent="0.3">
      <c r="B128" t="s">
        <v>107</v>
      </c>
      <c r="G128" s="57">
        <f>-G6/G31</f>
        <v>10</v>
      </c>
      <c r="H128" s="57">
        <f>-H6/H31</f>
        <v>10.698961937716263</v>
      </c>
      <c r="I128" s="57">
        <f>-I6/I31</f>
        <v>11.467391304347826</v>
      </c>
      <c r="J128" s="57">
        <f>-J6/J31</f>
        <v>11.954230235783633</v>
      </c>
      <c r="K128" s="57">
        <f>-K6/K31</f>
        <v>12.082271147161066</v>
      </c>
    </row>
    <row r="129" spans="2:11" x14ac:dyDescent="0.3">
      <c r="B129" t="s">
        <v>108</v>
      </c>
      <c r="G129" s="57">
        <f>G6/G28</f>
        <v>10.803212851405622</v>
      </c>
      <c r="H129" s="57">
        <f>H6/H28</f>
        <v>10.204620462046204</v>
      </c>
      <c r="I129" s="57">
        <f>I6/I28</f>
        <v>9.4558258642765693</v>
      </c>
      <c r="J129" s="57">
        <f>J6/J28</f>
        <v>9.0440713536201471</v>
      </c>
      <c r="K129" s="57">
        <f>K6/K28</f>
        <v>8.4703493095044671</v>
      </c>
    </row>
    <row r="130" spans="2:11" x14ac:dyDescent="0.3">
      <c r="B130" t="s">
        <v>109</v>
      </c>
      <c r="G130" s="57">
        <f>-G27/G7*365</f>
        <v>27.965892239248642</v>
      </c>
      <c r="H130" s="57">
        <f>-H27/H7*365</f>
        <v>30.019276076247589</v>
      </c>
      <c r="I130" s="57">
        <f>-I27/I7*365</f>
        <v>33.29983994309088</v>
      </c>
      <c r="J130" s="57">
        <f>-J27/J7*365</f>
        <v>36.015389257694629</v>
      </c>
      <c r="K130" s="57">
        <f>-K27/K7*365</f>
        <v>38.948997276553598</v>
      </c>
    </row>
    <row r="131" spans="2:11" x14ac:dyDescent="0.3">
      <c r="B131" s="23" t="s">
        <v>110</v>
      </c>
      <c r="F131" s="60">
        <f t="shared" ref="F131:K131" si="23">-SUM(F37:F42)</f>
        <v>749</v>
      </c>
      <c r="G131" s="60">
        <f t="shared" si="23"/>
        <v>821</v>
      </c>
      <c r="H131" s="60">
        <f t="shared" si="23"/>
        <v>1376</v>
      </c>
      <c r="I131" s="60">
        <f t="shared" si="23"/>
        <v>2325</v>
      </c>
      <c r="J131" s="60">
        <f t="shared" si="23"/>
        <v>3357</v>
      </c>
      <c r="K131" s="60">
        <f t="shared" si="23"/>
        <v>4672</v>
      </c>
    </row>
    <row r="132" spans="2:11" x14ac:dyDescent="0.3">
      <c r="B132" t="s">
        <v>111</v>
      </c>
      <c r="F132" s="60">
        <f t="shared" ref="F132:K132" si="24">F52</f>
        <v>1546</v>
      </c>
      <c r="G132" s="60">
        <f t="shared" si="24"/>
        <v>1782</v>
      </c>
      <c r="H132" s="60">
        <f t="shared" si="24"/>
        <v>2024</v>
      </c>
      <c r="I132" s="60">
        <f t="shared" si="24"/>
        <v>2294</v>
      </c>
      <c r="J132" s="60">
        <f t="shared" si="24"/>
        <v>2568</v>
      </c>
      <c r="K132" s="60">
        <f t="shared" si="24"/>
        <v>2847</v>
      </c>
    </row>
    <row r="133" spans="2:11" x14ac:dyDescent="0.3">
      <c r="B133" t="s">
        <v>112</v>
      </c>
      <c r="F133" s="61">
        <f t="shared" ref="F133:K133" si="25">F131/(F131+F132)</f>
        <v>0.32636165577342047</v>
      </c>
      <c r="G133" s="61">
        <f t="shared" si="25"/>
        <v>0.31540530157510566</v>
      </c>
      <c r="H133" s="61">
        <f t="shared" si="25"/>
        <v>0.40470588235294119</v>
      </c>
      <c r="I133" s="61">
        <f t="shared" si="25"/>
        <v>0.50335570469798663</v>
      </c>
      <c r="J133" s="61">
        <f t="shared" si="25"/>
        <v>0.56658227848101261</v>
      </c>
      <c r="K133" s="61">
        <f t="shared" si="25"/>
        <v>0.62135922330097082</v>
      </c>
    </row>
    <row r="134" spans="2:11" x14ac:dyDescent="0.3">
      <c r="B134" t="s">
        <v>113</v>
      </c>
      <c r="F134" s="62">
        <f t="shared" ref="F134:K134" si="26">F131/F132</f>
        <v>0.48447606727037518</v>
      </c>
      <c r="G134" s="62">
        <f t="shared" si="26"/>
        <v>0.4607182940516274</v>
      </c>
      <c r="H134" s="62">
        <f t="shared" si="26"/>
        <v>0.67984189723320154</v>
      </c>
      <c r="I134" s="62">
        <f t="shared" si="26"/>
        <v>1.0135135135135136</v>
      </c>
      <c r="J134" s="62">
        <f t="shared" si="26"/>
        <v>1.3072429906542056</v>
      </c>
      <c r="K134" s="62">
        <f t="shared" si="26"/>
        <v>1.641025641025641</v>
      </c>
    </row>
    <row r="135" spans="2:11" x14ac:dyDescent="0.3">
      <c r="B135" s="62" t="s">
        <v>114</v>
      </c>
      <c r="G135" s="63">
        <f>-G11/G12</f>
        <v>5.9456521739130439</v>
      </c>
      <c r="H135" s="63">
        <f>-H11/H12</f>
        <v>5.093220338983051</v>
      </c>
      <c r="I135" s="63">
        <f>-I11/I12</f>
        <v>3.6368159203980102</v>
      </c>
      <c r="J135" s="63">
        <f>-J11/J12</f>
        <v>3.1340996168582373</v>
      </c>
      <c r="K135" s="63">
        <f>-K11/K12</f>
        <v>2.8276923076923075</v>
      </c>
    </row>
    <row r="136" spans="2:11" x14ac:dyDescent="0.3">
      <c r="B136" s="62" t="s">
        <v>115</v>
      </c>
      <c r="G136" s="61">
        <f>G13/G132</f>
        <v>0.255331088664422</v>
      </c>
      <c r="H136" s="61">
        <f>H13/H132</f>
        <v>0.23863636363636365</v>
      </c>
      <c r="I136" s="61">
        <f>I13/I132</f>
        <v>0.23103748910200522</v>
      </c>
      <c r="J136" s="61">
        <f>J13/J132</f>
        <v>0.21690031152647976</v>
      </c>
      <c r="K136" s="61">
        <f>K13/K132</f>
        <v>0.20864067439409906</v>
      </c>
    </row>
    <row r="137" spans="2:11" x14ac:dyDescent="0.3">
      <c r="B137" s="23" t="s">
        <v>116</v>
      </c>
      <c r="G137" s="64" t="s">
        <v>117</v>
      </c>
      <c r="H137" s="64"/>
      <c r="I137" s="64"/>
      <c r="J137" s="64"/>
      <c r="K137" s="64"/>
    </row>
    <row r="138" spans="2:11" x14ac:dyDescent="0.3">
      <c r="B138" t="s">
        <v>118</v>
      </c>
      <c r="E138" s="54"/>
      <c r="G138" s="64" t="s">
        <v>117</v>
      </c>
      <c r="H138" s="65"/>
      <c r="I138" s="65"/>
      <c r="J138" s="65"/>
      <c r="K138" s="65"/>
    </row>
    <row r="139" spans="2:11" x14ac:dyDescent="0.3">
      <c r="B139" t="s">
        <v>119</v>
      </c>
      <c r="F139" s="39">
        <f>-G16</f>
        <v>94</v>
      </c>
      <c r="G139" s="39">
        <f>-H16</f>
        <v>111</v>
      </c>
      <c r="H139" s="39">
        <f>-I16</f>
        <v>126</v>
      </c>
      <c r="I139" s="39">
        <f>-J16</f>
        <v>153</v>
      </c>
      <c r="J139" s="39">
        <f>-K16</f>
        <v>184</v>
      </c>
      <c r="K139" s="12">
        <v>215</v>
      </c>
    </row>
    <row r="140" spans="2:11" x14ac:dyDescent="0.3">
      <c r="B140" t="s">
        <v>120</v>
      </c>
      <c r="G140" s="66">
        <f t="shared" ref="G140:I140" si="27">G139/F139-1</f>
        <v>0.18085106382978733</v>
      </c>
      <c r="H140" s="66">
        <f t="shared" si="27"/>
        <v>0.13513513513513509</v>
      </c>
      <c r="I140" s="66">
        <f t="shared" si="27"/>
        <v>0.21428571428571419</v>
      </c>
      <c r="J140" s="66">
        <f>J139/I139-1</f>
        <v>0.20261437908496727</v>
      </c>
      <c r="K140" s="66">
        <f t="shared" ref="K140" si="28">K139/J139-1</f>
        <v>0.16847826086956519</v>
      </c>
    </row>
    <row r="141" spans="2:11" x14ac:dyDescent="0.3">
      <c r="B141" t="s">
        <v>121</v>
      </c>
      <c r="G141" s="67">
        <f>G139*1000/G54*100</f>
        <v>11.1</v>
      </c>
      <c r="H141" s="67">
        <f>H139*1000/H54*100</f>
        <v>12.6</v>
      </c>
      <c r="I141" s="67">
        <f>I139*1000/I54*100</f>
        <v>15.299999999999999</v>
      </c>
      <c r="J141" s="67">
        <f>J139*1000/J54*100</f>
        <v>18.399999999999999</v>
      </c>
      <c r="K141" s="67">
        <f>K139*1000/K54*100</f>
        <v>21.5</v>
      </c>
    </row>
    <row r="142" spans="2:11" x14ac:dyDescent="0.3">
      <c r="B142" s="23" t="s">
        <v>122</v>
      </c>
      <c r="G142" s="59">
        <f>-G15/G16</f>
        <v>3.5106382978723403</v>
      </c>
      <c r="H142" s="59">
        <f>-H15/H16</f>
        <v>3.1801801801801801</v>
      </c>
      <c r="I142" s="59">
        <f>-I15/I16</f>
        <v>3.1428571428571428</v>
      </c>
      <c r="J142" s="59">
        <f>-J15/J16</f>
        <v>2.7908496732026142</v>
      </c>
      <c r="K142" s="59">
        <f>-K15/K16</f>
        <v>2.5163043478260869</v>
      </c>
    </row>
    <row r="143" spans="2:11" x14ac:dyDescent="0.3">
      <c r="B143" s="23" t="s">
        <v>123</v>
      </c>
      <c r="G143" s="59">
        <f>G15/G139</f>
        <v>2.9729729729729728</v>
      </c>
      <c r="H143" s="59">
        <f>H15/H139</f>
        <v>2.8015873015873014</v>
      </c>
      <c r="I143" s="59">
        <f>I15/I139</f>
        <v>2.5882352941176472</v>
      </c>
      <c r="J143" s="59">
        <f>J15/J139</f>
        <v>2.3206521739130435</v>
      </c>
      <c r="K143" s="68">
        <f>K15/K139</f>
        <v>2.1534883720930234</v>
      </c>
    </row>
    <row r="144" spans="2:11" x14ac:dyDescent="0.3">
      <c r="B144" t="s">
        <v>124</v>
      </c>
      <c r="G144" s="61">
        <f>G139/G15</f>
        <v>0.33636363636363636</v>
      </c>
      <c r="H144" s="61">
        <f>H139/H15</f>
        <v>0.35694050991501414</v>
      </c>
      <c r="I144" s="69">
        <f>I139/I15</f>
        <v>0.38636363636363635</v>
      </c>
      <c r="J144" s="69">
        <f>J139/J15</f>
        <v>0.43091334894613581</v>
      </c>
      <c r="K144" s="69">
        <f>K139/K15</f>
        <v>0.46436285097192226</v>
      </c>
    </row>
    <row r="145" spans="2:12" x14ac:dyDescent="0.3">
      <c r="B145" t="s">
        <v>125</v>
      </c>
      <c r="G145" s="57">
        <f>-G111/G113</f>
        <v>1.0685618729096991</v>
      </c>
      <c r="H145" s="57">
        <f>-H111/H113</f>
        <v>1.1430711610486892</v>
      </c>
      <c r="I145" s="59">
        <f>-I111/I113</f>
        <v>1.0216830149716056</v>
      </c>
      <c r="J145" s="59">
        <f>-J111/J113</f>
        <v>1.1706204379562044</v>
      </c>
      <c r="K145" s="59">
        <f>-K111/K113</f>
        <v>1.1982105987611837</v>
      </c>
    </row>
    <row r="146" spans="2:12" x14ac:dyDescent="0.3">
      <c r="B146" t="s">
        <v>126</v>
      </c>
      <c r="G146" s="57">
        <f>-(G111-G28)/G113</f>
        <v>0.65217391304347827</v>
      </c>
      <c r="H146" s="57">
        <f>-(H111-H28)/H113</f>
        <v>0.68913857677902624</v>
      </c>
      <c r="I146" s="59">
        <f>-(I111-I28)/I113</f>
        <v>0.61848218895198759</v>
      </c>
      <c r="J146" s="59">
        <f>-(J111-J28)/J113</f>
        <v>0.73585766423357668</v>
      </c>
      <c r="K146" s="59">
        <f>-(K111-K28)/K113</f>
        <v>0.77460426703372331</v>
      </c>
    </row>
    <row r="147" spans="2:12" x14ac:dyDescent="0.3">
      <c r="B147" s="23" t="s">
        <v>127</v>
      </c>
      <c r="G147" s="70">
        <v>0.27500000000000002</v>
      </c>
      <c r="H147" s="70">
        <v>0.26900000000000002</v>
      </c>
      <c r="I147" s="70">
        <v>0.252</v>
      </c>
      <c r="J147" s="70">
        <v>0.23400000000000001</v>
      </c>
      <c r="K147" s="70">
        <v>0.221</v>
      </c>
    </row>
    <row r="148" spans="2:12" x14ac:dyDescent="0.3">
      <c r="B148" s="23" t="s">
        <v>128</v>
      </c>
      <c r="G148" s="71">
        <f>-G14/G13</f>
        <v>0.27472527472527475</v>
      </c>
      <c r="H148" s="71">
        <f>-H14/H13</f>
        <v>0.2691511387163561</v>
      </c>
      <c r="I148" s="71">
        <f>-I14/I13</f>
        <v>0.25283018867924528</v>
      </c>
      <c r="J148" s="71">
        <f>-J14/J13</f>
        <v>0.23339317773788151</v>
      </c>
      <c r="K148" s="71">
        <f>-K14/K13</f>
        <v>0.22053872053872053</v>
      </c>
    </row>
    <row r="149" spans="2:12" x14ac:dyDescent="0.3">
      <c r="B149" s="23" t="s">
        <v>129</v>
      </c>
      <c r="G149" s="71">
        <f>(G68+G76)/G11</f>
        <v>0.44789762340036565</v>
      </c>
      <c r="H149" s="71">
        <f>(H68+H76)/H11</f>
        <v>-0.33444259567387685</v>
      </c>
      <c r="I149" s="71">
        <f>(I68+I76)/I11</f>
        <v>-0.67305061559507529</v>
      </c>
      <c r="J149" s="71">
        <f>(J68+J76)/J11</f>
        <v>-0.59168704156479213</v>
      </c>
      <c r="K149" s="71">
        <f>(K68+K76)/K11</f>
        <v>-0.73558215451577802</v>
      </c>
    </row>
    <row r="150" spans="2:12" x14ac:dyDescent="0.3">
      <c r="B150" s="23" t="s">
        <v>130</v>
      </c>
      <c r="G150" s="72">
        <f>G11+G63</f>
        <v>752</v>
      </c>
      <c r="H150" s="72">
        <f>H11+H63</f>
        <v>825</v>
      </c>
      <c r="I150" s="72">
        <f>I11+I63</f>
        <v>1032</v>
      </c>
      <c r="J150" s="72">
        <f>J11+J63</f>
        <v>1220.3</v>
      </c>
      <c r="K150" s="72">
        <f>K11+K63</f>
        <v>1414</v>
      </c>
    </row>
    <row r="151" spans="2:12" x14ac:dyDescent="0.3">
      <c r="B151" t="s">
        <v>131</v>
      </c>
      <c r="G151" s="71">
        <f>G68/G150</f>
        <v>0.77260638297872342</v>
      </c>
      <c r="H151" s="71">
        <f>H68/H150</f>
        <v>0.79515151515151516</v>
      </c>
      <c r="I151" s="71">
        <f>I68/I150</f>
        <v>0.64825581395348841</v>
      </c>
      <c r="J151" s="71">
        <f>J68/J150</f>
        <v>0.5902646890108989</v>
      </c>
      <c r="K151" s="71">
        <f>K68/K150</f>
        <v>0.48939179632248941</v>
      </c>
    </row>
    <row r="152" spans="2:12" ht="14" thickBot="1" x14ac:dyDescent="0.35">
      <c r="B152" s="23"/>
      <c r="G152" s="71"/>
      <c r="H152" s="71"/>
      <c r="I152" s="71"/>
      <c r="J152" s="71"/>
      <c r="K152" s="71"/>
    </row>
    <row r="153" spans="2:12" x14ac:dyDescent="0.3">
      <c r="B153" s="24"/>
      <c r="C153" s="24"/>
      <c r="D153" s="24"/>
      <c r="E153" s="24"/>
      <c r="F153" s="24"/>
      <c r="G153" s="24"/>
      <c r="H153" s="24"/>
      <c r="I153" s="24"/>
      <c r="J153" s="24"/>
      <c r="K153" s="24"/>
    </row>
    <row r="154" spans="2:12" ht="18.3" x14ac:dyDescent="0.4">
      <c r="B154" s="73" t="s">
        <v>132</v>
      </c>
      <c r="K154" s="61"/>
    </row>
    <row r="155" spans="2:12" x14ac:dyDescent="0.3">
      <c r="B155" s="42" t="s">
        <v>133</v>
      </c>
      <c r="H155" s="29"/>
      <c r="I155" s="29"/>
      <c r="J155" s="29"/>
      <c r="K155" s="29"/>
      <c r="L155" s="29"/>
    </row>
    <row r="156" spans="2:12" x14ac:dyDescent="0.3">
      <c r="C156" t="s">
        <v>134</v>
      </c>
      <c r="H156" s="29"/>
      <c r="I156" s="29"/>
      <c r="J156" s="29"/>
      <c r="K156" s="29"/>
      <c r="L156" s="29"/>
    </row>
    <row r="157" spans="2:12" x14ac:dyDescent="0.3">
      <c r="D157" t="s">
        <v>135</v>
      </c>
      <c r="F157" s="74"/>
      <c r="G157" s="74">
        <f>F160</f>
        <v>0</v>
      </c>
      <c r="H157" s="75">
        <f t="shared" ref="H157:K157" si="29">G160</f>
        <v>0</v>
      </c>
      <c r="I157" s="75">
        <f t="shared" si="29"/>
        <v>0</v>
      </c>
      <c r="J157" s="75">
        <f t="shared" si="29"/>
        <v>-300</v>
      </c>
      <c r="K157" s="75">
        <f t="shared" si="29"/>
        <v>-244</v>
      </c>
      <c r="L157" s="29"/>
    </row>
    <row r="158" spans="2:12" x14ac:dyDescent="0.3">
      <c r="D158" t="s">
        <v>136</v>
      </c>
      <c r="F158" s="74"/>
      <c r="G158" s="74"/>
      <c r="H158" s="75"/>
      <c r="I158" s="76">
        <v>-345</v>
      </c>
      <c r="J158" s="76"/>
      <c r="K158" s="76"/>
      <c r="L158" s="29"/>
    </row>
    <row r="159" spans="2:12" x14ac:dyDescent="0.3">
      <c r="D159" t="s">
        <v>137</v>
      </c>
      <c r="F159" s="74"/>
      <c r="G159" s="74"/>
      <c r="H159" s="75"/>
      <c r="I159" s="76">
        <v>45</v>
      </c>
      <c r="J159" s="76">
        <v>56</v>
      </c>
      <c r="K159" s="76">
        <v>63</v>
      </c>
      <c r="L159" s="77"/>
    </row>
    <row r="160" spans="2:12" x14ac:dyDescent="0.3">
      <c r="D160" t="s">
        <v>138</v>
      </c>
      <c r="F160" s="78">
        <v>0</v>
      </c>
      <c r="G160" s="79">
        <f t="shared" ref="G160:H160" si="30">SUM(G157:G159)</f>
        <v>0</v>
      </c>
      <c r="H160" s="80">
        <f t="shared" si="30"/>
        <v>0</v>
      </c>
      <c r="I160" s="80">
        <f>SUM(I157:I159)</f>
        <v>-300</v>
      </c>
      <c r="J160" s="80">
        <f t="shared" ref="J160:K160" si="31">SUM(J157:J159)</f>
        <v>-244</v>
      </c>
      <c r="K160" s="80">
        <f t="shared" si="31"/>
        <v>-181</v>
      </c>
      <c r="L160" s="29"/>
    </row>
    <row r="161" spans="3:12" x14ac:dyDescent="0.3">
      <c r="D161" t="s">
        <v>139</v>
      </c>
      <c r="F161" s="74"/>
      <c r="G161" s="74"/>
      <c r="H161" s="75"/>
      <c r="I161" s="76">
        <v>-29</v>
      </c>
      <c r="J161" s="76">
        <v>-33</v>
      </c>
      <c r="K161" s="76">
        <v>-26</v>
      </c>
      <c r="L161" s="81"/>
    </row>
    <row r="162" spans="3:12" x14ac:dyDescent="0.3">
      <c r="C162" s="23" t="s">
        <v>140</v>
      </c>
      <c r="F162" s="74"/>
      <c r="G162" s="74"/>
      <c r="H162" s="75"/>
      <c r="I162" s="75"/>
      <c r="J162" s="75"/>
      <c r="K162" s="75"/>
      <c r="L162" s="29"/>
    </row>
    <row r="163" spans="3:12" x14ac:dyDescent="0.3">
      <c r="D163" t="s">
        <v>135</v>
      </c>
      <c r="F163" s="74"/>
      <c r="G163" s="74">
        <f>F166</f>
        <v>0</v>
      </c>
      <c r="H163" s="75">
        <f t="shared" ref="H163:K163" si="32">G166</f>
        <v>0</v>
      </c>
      <c r="I163" s="75">
        <f t="shared" si="32"/>
        <v>0</v>
      </c>
      <c r="J163" s="75">
        <f t="shared" si="32"/>
        <v>0</v>
      </c>
      <c r="K163" s="75">
        <f t="shared" si="32"/>
        <v>-509</v>
      </c>
      <c r="L163" s="29"/>
    </row>
    <row r="164" spans="3:12" x14ac:dyDescent="0.3">
      <c r="D164" t="s">
        <v>136</v>
      </c>
      <c r="F164" s="74"/>
      <c r="G164" s="74"/>
      <c r="H164" s="75"/>
      <c r="I164" s="82"/>
      <c r="J164" s="76">
        <v>-562</v>
      </c>
      <c r="K164" s="76"/>
      <c r="L164" s="29"/>
    </row>
    <row r="165" spans="3:12" x14ac:dyDescent="0.3">
      <c r="D165" t="s">
        <v>137</v>
      </c>
      <c r="F165" s="74"/>
      <c r="G165" s="74"/>
      <c r="H165" s="75"/>
      <c r="I165" s="82"/>
      <c r="J165" s="76">
        <v>53</v>
      </c>
      <c r="K165" s="76">
        <v>89</v>
      </c>
      <c r="L165" s="29"/>
    </row>
    <row r="166" spans="3:12" x14ac:dyDescent="0.3">
      <c r="D166" t="s">
        <v>138</v>
      </c>
      <c r="F166" s="78">
        <v>0</v>
      </c>
      <c r="G166" s="79">
        <f t="shared" ref="G166" si="33">SUM(G163:G165)</f>
        <v>0</v>
      </c>
      <c r="H166" s="80">
        <f t="shared" ref="H166" si="34">SUM(H163:H165)</f>
        <v>0</v>
      </c>
      <c r="I166" s="80">
        <f>SUM(I163:I165)</f>
        <v>0</v>
      </c>
      <c r="J166" s="80">
        <f t="shared" ref="J166:K166" si="35">SUM(J163:J165)</f>
        <v>-509</v>
      </c>
      <c r="K166" s="80">
        <f t="shared" si="35"/>
        <v>-420</v>
      </c>
      <c r="L166" s="29"/>
    </row>
    <row r="167" spans="3:12" x14ac:dyDescent="0.3">
      <c r="D167" t="s">
        <v>139</v>
      </c>
      <c r="F167" s="74"/>
      <c r="G167" s="74"/>
      <c r="H167" s="75"/>
      <c r="I167" s="82"/>
      <c r="J167" s="76">
        <v>-32</v>
      </c>
      <c r="K167" s="76">
        <v>-56</v>
      </c>
      <c r="L167" s="81"/>
    </row>
    <row r="168" spans="3:12" x14ac:dyDescent="0.3">
      <c r="C168" t="s">
        <v>141</v>
      </c>
      <c r="F168" s="74"/>
      <c r="G168" s="74"/>
      <c r="H168" s="75"/>
      <c r="I168" s="75"/>
      <c r="J168" s="75"/>
      <c r="K168" s="75"/>
      <c r="L168" s="29"/>
    </row>
    <row r="169" spans="3:12" x14ac:dyDescent="0.3">
      <c r="D169" t="s">
        <v>135</v>
      </c>
      <c r="F169" s="74"/>
      <c r="G169" s="74">
        <f>F172</f>
        <v>0</v>
      </c>
      <c r="H169" s="75">
        <f t="shared" ref="H169:K169" si="36">G172</f>
        <v>0</v>
      </c>
      <c r="I169" s="75">
        <f t="shared" si="36"/>
        <v>0</v>
      </c>
      <c r="J169" s="75">
        <f t="shared" si="36"/>
        <v>-300</v>
      </c>
      <c r="K169" s="75">
        <f t="shared" si="36"/>
        <v>-753</v>
      </c>
      <c r="L169" s="29"/>
    </row>
    <row r="170" spans="3:12" x14ac:dyDescent="0.3">
      <c r="D170" t="s">
        <v>136</v>
      </c>
      <c r="F170" s="74"/>
      <c r="G170" s="74">
        <f>G158+G164</f>
        <v>0</v>
      </c>
      <c r="H170" s="75">
        <f t="shared" ref="H170:K170" si="37">H158+H164</f>
        <v>0</v>
      </c>
      <c r="I170" s="75">
        <f t="shared" si="37"/>
        <v>-345</v>
      </c>
      <c r="J170" s="75">
        <f t="shared" si="37"/>
        <v>-562</v>
      </c>
      <c r="K170" s="75">
        <f t="shared" si="37"/>
        <v>0</v>
      </c>
      <c r="L170" s="29"/>
    </row>
    <row r="171" spans="3:12" x14ac:dyDescent="0.3">
      <c r="D171" t="s">
        <v>137</v>
      </c>
      <c r="F171" s="74"/>
      <c r="G171" s="74">
        <f t="shared" ref="G171:K173" si="38">G159+G165</f>
        <v>0</v>
      </c>
      <c r="H171" s="75">
        <f t="shared" si="38"/>
        <v>0</v>
      </c>
      <c r="I171" s="75">
        <f t="shared" si="38"/>
        <v>45</v>
      </c>
      <c r="J171" s="75">
        <f t="shared" si="38"/>
        <v>109</v>
      </c>
      <c r="K171" s="75">
        <f t="shared" si="38"/>
        <v>152</v>
      </c>
      <c r="L171" s="29"/>
    </row>
    <row r="172" spans="3:12" x14ac:dyDescent="0.3">
      <c r="D172" t="s">
        <v>138</v>
      </c>
      <c r="F172" s="78">
        <v>0</v>
      </c>
      <c r="G172" s="79">
        <f t="shared" ref="G172" si="39">SUM(G169:G171)</f>
        <v>0</v>
      </c>
      <c r="H172" s="80">
        <f t="shared" ref="H172" si="40">SUM(H169:H171)</f>
        <v>0</v>
      </c>
      <c r="I172" s="80">
        <f>SUM(I169:I171)</f>
        <v>-300</v>
      </c>
      <c r="J172" s="80">
        <f t="shared" ref="J172:K172" si="41">SUM(J169:J171)</f>
        <v>-753</v>
      </c>
      <c r="K172" s="80">
        <f t="shared" si="41"/>
        <v>-601</v>
      </c>
      <c r="L172" s="29"/>
    </row>
    <row r="173" spans="3:12" x14ac:dyDescent="0.3">
      <c r="D173" t="s">
        <v>139</v>
      </c>
      <c r="F173" s="74"/>
      <c r="G173" s="74">
        <f t="shared" si="38"/>
        <v>0</v>
      </c>
      <c r="H173" s="75">
        <f t="shared" si="38"/>
        <v>0</v>
      </c>
      <c r="I173" s="75">
        <f t="shared" si="38"/>
        <v>-29</v>
      </c>
      <c r="J173" s="75">
        <f t="shared" si="38"/>
        <v>-65</v>
      </c>
      <c r="K173" s="75">
        <f t="shared" si="38"/>
        <v>-82</v>
      </c>
      <c r="L173" s="29"/>
    </row>
    <row r="174" spans="3:12" x14ac:dyDescent="0.3">
      <c r="D174" t="s">
        <v>142</v>
      </c>
      <c r="F174" s="74"/>
      <c r="G174" s="74"/>
      <c r="H174" s="75"/>
      <c r="I174" s="75"/>
      <c r="J174" s="75">
        <f>AVERAGE(I172:J172)</f>
        <v>-526.5</v>
      </c>
      <c r="K174" s="75">
        <f>AVERAGE(J172:K172)</f>
        <v>-677</v>
      </c>
      <c r="L174" s="29"/>
    </row>
    <row r="175" spans="3:12" x14ac:dyDescent="0.3">
      <c r="C175" s="23" t="s">
        <v>143</v>
      </c>
      <c r="F175" s="83"/>
      <c r="G175" s="84"/>
      <c r="H175" s="85"/>
      <c r="I175" s="85"/>
      <c r="J175" s="85"/>
      <c r="K175" s="85"/>
      <c r="L175" s="29"/>
    </row>
    <row r="176" spans="3:12" x14ac:dyDescent="0.3">
      <c r="D176" t="s">
        <v>144</v>
      </c>
      <c r="F176" s="83">
        <v>0</v>
      </c>
      <c r="G176" s="83">
        <v>0</v>
      </c>
      <c r="H176" s="86">
        <v>0</v>
      </c>
      <c r="I176" s="85">
        <f t="shared" ref="I176:J176" si="42">-J171</f>
        <v>-109</v>
      </c>
      <c r="J176" s="85">
        <f t="shared" si="42"/>
        <v>-152</v>
      </c>
      <c r="K176" s="86">
        <v>-171</v>
      </c>
      <c r="L176" s="29"/>
    </row>
    <row r="177" spans="2:12" x14ac:dyDescent="0.3">
      <c r="D177" t="s">
        <v>145</v>
      </c>
      <c r="F177" s="83">
        <v>0</v>
      </c>
      <c r="G177" s="83">
        <v>0</v>
      </c>
      <c r="H177" s="86">
        <v>0</v>
      </c>
      <c r="I177" s="85">
        <f t="shared" ref="I177:J177" si="43">I172-I176</f>
        <v>-191</v>
      </c>
      <c r="J177" s="85">
        <f t="shared" si="43"/>
        <v>-601</v>
      </c>
      <c r="K177" s="85">
        <f>K172-K176</f>
        <v>-430</v>
      </c>
      <c r="L177" s="29"/>
    </row>
    <row r="178" spans="2:12" x14ac:dyDescent="0.3">
      <c r="F178" s="83"/>
      <c r="G178" s="84"/>
      <c r="H178" s="85"/>
      <c r="I178" s="85"/>
      <c r="J178" s="85"/>
      <c r="K178" s="85"/>
    </row>
    <row r="179" spans="2:12" x14ac:dyDescent="0.3">
      <c r="B179" s="42" t="s">
        <v>146</v>
      </c>
      <c r="F179" s="74"/>
      <c r="G179" s="74"/>
      <c r="H179" s="75"/>
      <c r="I179" s="75"/>
      <c r="J179" s="75"/>
      <c r="K179" s="75"/>
    </row>
    <row r="180" spans="2:12" x14ac:dyDescent="0.3">
      <c r="C180" t="s">
        <v>135</v>
      </c>
      <c r="F180" s="74"/>
      <c r="G180" s="74">
        <f>F183</f>
        <v>-350</v>
      </c>
      <c r="H180" s="75">
        <f t="shared" ref="H180:K180" si="44">G183</f>
        <v>-550</v>
      </c>
      <c r="I180" s="75">
        <f t="shared" si="44"/>
        <v>-1050</v>
      </c>
      <c r="J180" s="75">
        <f t="shared" si="44"/>
        <v>-1450</v>
      </c>
      <c r="K180" s="75">
        <f t="shared" si="44"/>
        <v>-2000</v>
      </c>
    </row>
    <row r="181" spans="2:12" x14ac:dyDescent="0.3">
      <c r="C181" s="23" t="s">
        <v>147</v>
      </c>
      <c r="F181" s="74"/>
      <c r="G181" s="87">
        <v>-200</v>
      </c>
      <c r="H181" s="76">
        <v>-600</v>
      </c>
      <c r="I181" s="76">
        <v>-500</v>
      </c>
      <c r="J181" s="76">
        <f>-700-100</f>
        <v>-800</v>
      </c>
      <c r="K181" s="76">
        <f>-1400-100</f>
        <v>-1500</v>
      </c>
    </row>
    <row r="182" spans="2:12" x14ac:dyDescent="0.3">
      <c r="C182" s="23" t="s">
        <v>148</v>
      </c>
      <c r="F182" s="74"/>
      <c r="G182" s="87">
        <v>0</v>
      </c>
      <c r="H182" s="76">
        <v>100</v>
      </c>
      <c r="I182" s="76">
        <v>100</v>
      </c>
      <c r="J182" s="76">
        <v>250</v>
      </c>
      <c r="K182" s="76">
        <v>350</v>
      </c>
    </row>
    <row r="183" spans="2:12" x14ac:dyDescent="0.3">
      <c r="C183" t="s">
        <v>138</v>
      </c>
      <c r="F183" s="78">
        <v>-350</v>
      </c>
      <c r="G183" s="79">
        <f t="shared" ref="G183" si="45">SUM(G180:G182)</f>
        <v>-550</v>
      </c>
      <c r="H183" s="80">
        <f t="shared" ref="H183" si="46">SUM(H180:H182)</f>
        <v>-1050</v>
      </c>
      <c r="I183" s="80">
        <f>SUM(I180:I182)</f>
        <v>-1450</v>
      </c>
      <c r="J183" s="80">
        <f t="shared" ref="J183:K183" si="47">SUM(J180:J182)</f>
        <v>-2000</v>
      </c>
      <c r="K183" s="80">
        <f t="shared" si="47"/>
        <v>-3150</v>
      </c>
    </row>
    <row r="184" spans="2:12" x14ac:dyDescent="0.3">
      <c r="C184" t="s">
        <v>149</v>
      </c>
      <c r="F184" s="83"/>
      <c r="G184" s="84"/>
      <c r="H184" s="85"/>
      <c r="I184" s="85"/>
      <c r="J184" s="85"/>
      <c r="K184" s="85"/>
    </row>
    <row r="185" spans="2:12" x14ac:dyDescent="0.3">
      <c r="D185" t="s">
        <v>144</v>
      </c>
      <c r="F185" s="83">
        <v>0</v>
      </c>
      <c r="G185" s="84">
        <f t="shared" ref="G185" si="48">-H182</f>
        <v>-100</v>
      </c>
      <c r="H185" s="85">
        <f>-I182</f>
        <v>-100</v>
      </c>
      <c r="I185" s="85">
        <f t="shared" ref="I185:J185" si="49">-J182</f>
        <v>-250</v>
      </c>
      <c r="J185" s="85">
        <f t="shared" si="49"/>
        <v>-350</v>
      </c>
      <c r="K185" s="86">
        <v>-525</v>
      </c>
    </row>
    <row r="186" spans="2:12" x14ac:dyDescent="0.3">
      <c r="D186" t="s">
        <v>145</v>
      </c>
      <c r="F186" s="84">
        <f t="shared" ref="F186:G186" si="50">F183-F185</f>
        <v>-350</v>
      </c>
      <c r="G186" s="84">
        <f t="shared" si="50"/>
        <v>-450</v>
      </c>
      <c r="H186" s="85">
        <f>H183-H185</f>
        <v>-950</v>
      </c>
      <c r="I186" s="85">
        <f t="shared" ref="I186:K186" si="51">I183-I185</f>
        <v>-1200</v>
      </c>
      <c r="J186" s="85">
        <f t="shared" si="51"/>
        <v>-1650</v>
      </c>
      <c r="K186" s="85">
        <f t="shared" si="51"/>
        <v>-2625</v>
      </c>
    </row>
    <row r="187" spans="2:12" x14ac:dyDescent="0.3">
      <c r="F187" s="74"/>
      <c r="G187" s="74"/>
      <c r="H187" s="75"/>
      <c r="I187" s="75"/>
      <c r="J187" s="75"/>
      <c r="K187" s="75"/>
    </row>
    <row r="188" spans="2:12" x14ac:dyDescent="0.3">
      <c r="B188" s="42" t="s">
        <v>150</v>
      </c>
      <c r="F188" s="74"/>
      <c r="G188" s="74"/>
      <c r="H188" s="75"/>
      <c r="I188" s="75"/>
      <c r="J188" s="75"/>
      <c r="K188" s="75"/>
    </row>
    <row r="189" spans="2:12" x14ac:dyDescent="0.3">
      <c r="C189" t="s">
        <v>133</v>
      </c>
      <c r="F189" s="74">
        <f t="shared" ref="F189:K189" si="52">F172</f>
        <v>0</v>
      </c>
      <c r="G189" s="74">
        <f t="shared" si="52"/>
        <v>0</v>
      </c>
      <c r="H189" s="75">
        <f t="shared" si="52"/>
        <v>0</v>
      </c>
      <c r="I189" s="75">
        <f t="shared" si="52"/>
        <v>-300</v>
      </c>
      <c r="J189" s="75">
        <f t="shared" si="52"/>
        <v>-753</v>
      </c>
      <c r="K189" s="75">
        <f t="shared" si="52"/>
        <v>-601</v>
      </c>
    </row>
    <row r="190" spans="2:12" x14ac:dyDescent="0.3">
      <c r="C190" t="s">
        <v>146</v>
      </c>
      <c r="F190" s="74">
        <f>F183</f>
        <v>-350</v>
      </c>
      <c r="G190" s="74">
        <f t="shared" ref="G190:K190" si="53">G183</f>
        <v>-550</v>
      </c>
      <c r="H190" s="75">
        <f t="shared" si="53"/>
        <v>-1050</v>
      </c>
      <c r="I190" s="75">
        <f t="shared" si="53"/>
        <v>-1450</v>
      </c>
      <c r="J190" s="75">
        <f t="shared" si="53"/>
        <v>-2000</v>
      </c>
      <c r="K190" s="75">
        <f t="shared" si="53"/>
        <v>-3150</v>
      </c>
    </row>
    <row r="191" spans="2:12" x14ac:dyDescent="0.3">
      <c r="C191" t="s">
        <v>29</v>
      </c>
      <c r="F191" s="79">
        <f>SUM(F189:F190)</f>
        <v>-350</v>
      </c>
      <c r="G191" s="79">
        <f t="shared" ref="G191:K191" si="54">SUM(G189:G190)</f>
        <v>-550</v>
      </c>
      <c r="H191" s="80">
        <f t="shared" si="54"/>
        <v>-1050</v>
      </c>
      <c r="I191" s="80">
        <f t="shared" si="54"/>
        <v>-1750</v>
      </c>
      <c r="J191" s="80">
        <f t="shared" si="54"/>
        <v>-2753</v>
      </c>
      <c r="K191" s="80">
        <f t="shared" si="54"/>
        <v>-3751</v>
      </c>
    </row>
    <row r="192" spans="2:12" x14ac:dyDescent="0.3">
      <c r="C192" t="s">
        <v>38</v>
      </c>
      <c r="F192" s="75">
        <f t="shared" ref="F192:K192" si="55">F38</f>
        <v>-411</v>
      </c>
      <c r="G192" s="75">
        <f t="shared" si="55"/>
        <v>-293</v>
      </c>
      <c r="H192" s="75">
        <f t="shared" si="55"/>
        <v>-342</v>
      </c>
      <c r="I192" s="75">
        <f t="shared" si="55"/>
        <v>-600</v>
      </c>
      <c r="J192" s="75">
        <f t="shared" si="55"/>
        <v>-621</v>
      </c>
      <c r="K192" s="75">
        <f t="shared" si="55"/>
        <v>-933</v>
      </c>
    </row>
    <row r="193" spans="2:11" x14ac:dyDescent="0.3">
      <c r="C193" s="23" t="s">
        <v>151</v>
      </c>
      <c r="F193" s="79">
        <f t="shared" ref="F193:K193" si="56">F192+F191</f>
        <v>-761</v>
      </c>
      <c r="G193" s="79">
        <f t="shared" si="56"/>
        <v>-843</v>
      </c>
      <c r="H193" s="79">
        <f t="shared" si="56"/>
        <v>-1392</v>
      </c>
      <c r="I193" s="79">
        <f t="shared" si="56"/>
        <v>-2350</v>
      </c>
      <c r="J193" s="79">
        <f t="shared" si="56"/>
        <v>-3374</v>
      </c>
      <c r="K193" s="79">
        <f t="shared" si="56"/>
        <v>-4684</v>
      </c>
    </row>
    <row r="194" spans="2:11" x14ac:dyDescent="0.3">
      <c r="C194" t="s">
        <v>37</v>
      </c>
      <c r="F194" s="74">
        <f t="shared" ref="F194:K194" si="57">F37</f>
        <v>12</v>
      </c>
      <c r="G194" s="74">
        <f t="shared" si="57"/>
        <v>22</v>
      </c>
      <c r="H194" s="74">
        <f t="shared" si="57"/>
        <v>16</v>
      </c>
      <c r="I194" s="74">
        <f t="shared" si="57"/>
        <v>25</v>
      </c>
      <c r="J194" s="74">
        <f t="shared" si="57"/>
        <v>17</v>
      </c>
      <c r="K194" s="74">
        <f t="shared" si="57"/>
        <v>12</v>
      </c>
    </row>
    <row r="195" spans="2:11" x14ac:dyDescent="0.3">
      <c r="C195" s="23" t="s">
        <v>152</v>
      </c>
      <c r="F195" s="79">
        <f>SUM(F193:F194)</f>
        <v>-749</v>
      </c>
      <c r="G195" s="79">
        <f t="shared" ref="G195:K195" si="58">SUM(G193:G194)</f>
        <v>-821</v>
      </c>
      <c r="H195" s="79">
        <f t="shared" si="58"/>
        <v>-1376</v>
      </c>
      <c r="I195" s="79">
        <f t="shared" si="58"/>
        <v>-2325</v>
      </c>
      <c r="J195" s="79">
        <f t="shared" si="58"/>
        <v>-3357</v>
      </c>
      <c r="K195" s="79">
        <f t="shared" si="58"/>
        <v>-4672</v>
      </c>
    </row>
    <row r="196" spans="2:11" x14ac:dyDescent="0.3">
      <c r="C196" s="23" t="s">
        <v>153</v>
      </c>
      <c r="F196" s="74"/>
      <c r="G196" s="74">
        <f t="shared" ref="G196:J196" si="59">AVERAGE(F195:G195)</f>
        <v>-785</v>
      </c>
      <c r="H196" s="74">
        <f t="shared" si="59"/>
        <v>-1098.5</v>
      </c>
      <c r="I196" s="74">
        <f t="shared" si="59"/>
        <v>-1850.5</v>
      </c>
      <c r="J196" s="74">
        <f t="shared" si="59"/>
        <v>-2841</v>
      </c>
      <c r="K196" s="74">
        <f>AVERAGE(J195:K195)</f>
        <v>-4014.5</v>
      </c>
    </row>
    <row r="197" spans="2:11" x14ac:dyDescent="0.3">
      <c r="C197" t="s">
        <v>154</v>
      </c>
      <c r="F197" s="74">
        <f t="shared" ref="F197:K197" si="60">F190+F192+F194</f>
        <v>-749</v>
      </c>
      <c r="G197" s="74">
        <f t="shared" si="60"/>
        <v>-821</v>
      </c>
      <c r="H197" s="74">
        <f t="shared" si="60"/>
        <v>-1376</v>
      </c>
      <c r="I197" s="75">
        <f t="shared" si="60"/>
        <v>-2025</v>
      </c>
      <c r="J197" s="75">
        <f t="shared" si="60"/>
        <v>-2604</v>
      </c>
      <c r="K197" s="75">
        <f t="shared" si="60"/>
        <v>-4071</v>
      </c>
    </row>
    <row r="198" spans="2:11" x14ac:dyDescent="0.3">
      <c r="C198" t="s">
        <v>155</v>
      </c>
      <c r="F198" s="74"/>
      <c r="G198" s="74">
        <f>AVERAGE(F197:G197)</f>
        <v>-785</v>
      </c>
      <c r="H198" s="74">
        <f t="shared" ref="H198:K198" si="61">AVERAGE(G197:H197)</f>
        <v>-1098.5</v>
      </c>
      <c r="I198" s="75">
        <f t="shared" si="61"/>
        <v>-1700.5</v>
      </c>
      <c r="J198" s="75">
        <f t="shared" si="61"/>
        <v>-2314.5</v>
      </c>
      <c r="K198" s="75">
        <f t="shared" si="61"/>
        <v>-3337.5</v>
      </c>
    </row>
    <row r="199" spans="2:11" x14ac:dyDescent="0.3">
      <c r="F199" s="74"/>
      <c r="G199" s="74"/>
      <c r="H199" s="74"/>
      <c r="I199" s="74"/>
      <c r="J199" s="74"/>
      <c r="K199" s="74"/>
    </row>
    <row r="200" spans="2:11" x14ac:dyDescent="0.3">
      <c r="B200" s="42" t="s">
        <v>156</v>
      </c>
      <c r="F200" s="74"/>
      <c r="G200" s="74"/>
      <c r="H200" s="74"/>
      <c r="I200" s="74"/>
      <c r="J200" s="74"/>
      <c r="K200" s="74"/>
    </row>
    <row r="201" spans="2:11" x14ac:dyDescent="0.3">
      <c r="C201" t="s">
        <v>133</v>
      </c>
      <c r="F201" s="74"/>
      <c r="G201" s="74">
        <f>G173</f>
        <v>0</v>
      </c>
      <c r="H201" s="74">
        <f>H173</f>
        <v>0</v>
      </c>
      <c r="I201" s="74">
        <f>I173</f>
        <v>-29</v>
      </c>
      <c r="J201" s="74">
        <f>J173</f>
        <v>-65</v>
      </c>
      <c r="K201" s="74">
        <f>K173</f>
        <v>-82</v>
      </c>
    </row>
    <row r="202" spans="2:11" x14ac:dyDescent="0.3">
      <c r="C202" t="s">
        <v>157</v>
      </c>
      <c r="F202" s="74"/>
      <c r="G202" s="67">
        <f>ROUND(G198*G209,0)</f>
        <v>-92</v>
      </c>
      <c r="H202" s="67">
        <f>ROUND(H198*H209,0)</f>
        <v>-118</v>
      </c>
      <c r="I202" s="67">
        <f>ROUND(I198*I209,0)</f>
        <v>-172</v>
      </c>
      <c r="J202" s="67">
        <f>ROUND(J198*J209,0)</f>
        <v>-196</v>
      </c>
      <c r="K202" s="67">
        <f>ROUND(K198*K209,0)</f>
        <v>-243</v>
      </c>
    </row>
    <row r="203" spans="2:11" x14ac:dyDescent="0.3">
      <c r="C203" t="s">
        <v>29</v>
      </c>
      <c r="F203" s="74"/>
      <c r="G203" s="79">
        <f>SUM(G201:G202)</f>
        <v>-92</v>
      </c>
      <c r="H203" s="79">
        <f t="shared" ref="H203:K203" si="62">SUM(H201:H202)</f>
        <v>-118</v>
      </c>
      <c r="I203" s="79">
        <f t="shared" si="62"/>
        <v>-201</v>
      </c>
      <c r="J203" s="79">
        <f t="shared" si="62"/>
        <v>-261</v>
      </c>
      <c r="K203" s="79">
        <f t="shared" si="62"/>
        <v>-325</v>
      </c>
    </row>
    <row r="204" spans="2:11" x14ac:dyDescent="0.3">
      <c r="G204" s="88"/>
      <c r="H204" s="88"/>
      <c r="I204" s="88"/>
      <c r="J204" s="88"/>
      <c r="K204" s="88"/>
    </row>
    <row r="205" spans="2:11" x14ac:dyDescent="0.3">
      <c r="B205" s="42" t="s">
        <v>158</v>
      </c>
    </row>
    <row r="206" spans="2:11" x14ac:dyDescent="0.3">
      <c r="C206" t="s">
        <v>133</v>
      </c>
      <c r="G206" s="89" t="s">
        <v>51</v>
      </c>
      <c r="H206" s="89" t="s">
        <v>51</v>
      </c>
      <c r="I206" s="89" t="s">
        <v>51</v>
      </c>
      <c r="J206" s="47">
        <f>J173/J174</f>
        <v>0.12345679012345678</v>
      </c>
      <c r="K206" s="47">
        <f>K173/K174</f>
        <v>0.12112259970457903</v>
      </c>
    </row>
    <row r="207" spans="2:11" x14ac:dyDescent="0.3">
      <c r="C207" t="s">
        <v>157</v>
      </c>
      <c r="G207" s="47">
        <f>G202/G198</f>
        <v>0.11719745222929936</v>
      </c>
      <c r="H207" s="47">
        <f>H202/H198</f>
        <v>0.10741920801092399</v>
      </c>
      <c r="I207" s="47">
        <f>I202/I198</f>
        <v>0.10114672155248457</v>
      </c>
      <c r="J207" s="47">
        <f>J202/J198</f>
        <v>8.4683516958306324E-2</v>
      </c>
      <c r="K207" s="47">
        <f>K202/K198</f>
        <v>7.2808988764044943E-2</v>
      </c>
    </row>
    <row r="208" spans="2:11" x14ac:dyDescent="0.3">
      <c r="C208" t="s">
        <v>29</v>
      </c>
      <c r="G208" s="90">
        <f>G203/G196</f>
        <v>0.11719745222929936</v>
      </c>
      <c r="H208" s="90">
        <f>H203/H196</f>
        <v>0.10741920801092399</v>
      </c>
      <c r="I208" s="90">
        <f>I203/I196</f>
        <v>0.10861929208322076</v>
      </c>
      <c r="J208" s="90">
        <f>J203/J196</f>
        <v>9.1869060190073917E-2</v>
      </c>
      <c r="K208" s="90">
        <f>K203/K196</f>
        <v>8.0956532569435802E-2</v>
      </c>
    </row>
    <row r="209" spans="2:11" x14ac:dyDescent="0.3">
      <c r="C209" s="23" t="s">
        <v>159</v>
      </c>
      <c r="G209" s="91">
        <v>0.11670313639679067</v>
      </c>
      <c r="H209" s="91">
        <v>0.10786290322580645</v>
      </c>
      <c r="I209" s="91">
        <v>0.10090171910476808</v>
      </c>
      <c r="J209" s="91">
        <v>8.4597354763100624E-2</v>
      </c>
      <c r="K209" s="91">
        <v>7.2818750000000029E-2</v>
      </c>
    </row>
    <row r="211" spans="2:11" x14ac:dyDescent="0.3">
      <c r="B211" s="23" t="s">
        <v>160</v>
      </c>
    </row>
    <row r="212" spans="2:11" x14ac:dyDescent="0.3">
      <c r="C212" t="s">
        <v>161</v>
      </c>
      <c r="G212" s="45">
        <f>G37+G38-F37-F38-G87</f>
        <v>0</v>
      </c>
      <c r="H212" s="45">
        <f>H37+H38-G37-G38-H87</f>
        <v>0</v>
      </c>
      <c r="I212" s="45">
        <f>I37+I38-H37-H38-I87</f>
        <v>0</v>
      </c>
      <c r="J212" s="45">
        <f>J37+J38-I37-I38-J87</f>
        <v>0</v>
      </c>
      <c r="K212" s="45">
        <f>K37+K38-J37-J38-K87</f>
        <v>0</v>
      </c>
    </row>
    <row r="213" spans="2:11" x14ac:dyDescent="0.3">
      <c r="C213" t="s">
        <v>162</v>
      </c>
      <c r="G213" s="45">
        <f>G22-(F22-G76-G63-G64)</f>
        <v>0</v>
      </c>
      <c r="H213" s="45">
        <f>H22-(G22-H76-H63-H64)</f>
        <v>0</v>
      </c>
      <c r="I213" s="45">
        <f>I22-(H22-I76-I63-I64)</f>
        <v>0</v>
      </c>
      <c r="J213" s="45">
        <f>J22-(I22-J76-J63-J64)</f>
        <v>0</v>
      </c>
      <c r="K213" s="45">
        <f>K22-(J22-K76-K63-K64)</f>
        <v>0</v>
      </c>
    </row>
  </sheetData>
  <conditionalFormatting sqref="E3">
    <cfRule type="cellIs" dxfId="0" priority="1" stopIfTrue="1" operator="notBetween">
      <formula>0.5</formula>
      <formula>-0.5</formula>
    </cfRule>
  </conditionalFormatting>
  <printOptions gridLinesSet="0"/>
  <pageMargins left="0.39370078740157483" right="0.39370078740157483" top="0.39370078740157483" bottom="0.47244094488188981" header="0.19685039370078741" footer="0.19685039370078741"/>
  <pageSetup paperSize="9" scale="80" fitToHeight="0" orientation="portrait" blackAndWhite="1" horizontalDpi="4294967293" verticalDpi="300" r:id="rId1"/>
  <headerFooter alignWithMargins="0">
    <oddFooter>&amp;L&amp;10&amp;T      &amp;D&amp;C&amp;9&amp;F&amp;R&amp;10Page &amp;P of &amp;N</oddFooter>
  </headerFooter>
  <rowBreaks count="3" manualBreakCount="3">
    <brk id="59" max="11" man="1"/>
    <brk id="103" max="16383" man="1"/>
    <brk id="15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Sheet1!Print_Titles</vt:lpstr>
      <vt:lpstr>Sheet1!t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Anthony</cp:lastModifiedBy>
  <dcterms:created xsi:type="dcterms:W3CDTF">2017-02-07T09:50:23Z</dcterms:created>
  <dcterms:modified xsi:type="dcterms:W3CDTF">2017-02-07T09:52:30Z</dcterms:modified>
</cp:coreProperties>
</file>